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9F260CA8-D0B9-420B-BF5B-0A17D01C76FB}" xr6:coauthVersionLast="47" xr6:coauthVersionMax="47" xr10:uidLastSave="{00000000-0000-0000-0000-000000000000}"/>
  <workbookProtection workbookAlgorithmName="SHA-512" workbookHashValue="N1yQx8+ZtGfzOREjT10irfNpmYFOB919PpUGIrEXV9ghvEZELaqyj8devYuie9WANpd8HD688SXuUFM3LVF8hg==" workbookSaltValue="t+rcCv3YeaJB38vws+Copw==" workbookSpinCount="100000" lockStructure="1"/>
  <bookViews>
    <workbookView xWindow="-120" yWindow="-120" windowWidth="29040" windowHeight="15840" xr2:uid="{00000000-000D-0000-FFFF-FFFF00000000}"/>
  </bookViews>
  <sheets>
    <sheet name="Лист1 " sheetId="3" r:id="rId1"/>
    <sheet name="Лист2" sheetId="2" r:id="rId2"/>
  </sheets>
  <definedNames>
    <definedName name="_xlnm._FilterDatabase" localSheetId="0" hidden="1">'Лист1 '!$A$1:$M$959</definedName>
    <definedName name="_xlnm.Print_Titles" localSheetId="0">'Лист1 '!$7:$7</definedName>
    <definedName name="_xlnm.Print_Titles" localSheetId="1">Лист2!$9:$9</definedName>
    <definedName name="_xlnm.Print_Area" localSheetId="0">'Лист1 '!$A$1:$L$972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1" i="3" l="1"/>
  <c r="H671" i="3" s="1"/>
  <c r="G671" i="3" l="1"/>
  <c r="E671" i="3" s="1"/>
  <c r="G937" i="3" l="1"/>
  <c r="G936" i="3"/>
  <c r="G935" i="3"/>
  <c r="G102" i="3"/>
  <c r="G170" i="3"/>
  <c r="G92" i="3"/>
  <c r="G91" i="3"/>
  <c r="G90" i="3"/>
  <c r="G947" i="3"/>
  <c r="G946" i="3"/>
  <c r="G945" i="3"/>
  <c r="H947" i="3"/>
  <c r="H946" i="3"/>
  <c r="H945" i="3"/>
  <c r="F958" i="3" l="1"/>
  <c r="G921" i="3"/>
  <c r="H109" i="3" l="1"/>
  <c r="H701" i="3"/>
  <c r="H702" i="3"/>
  <c r="H731" i="3"/>
  <c r="H207" i="3"/>
  <c r="H721" i="3"/>
  <c r="H722" i="3"/>
  <c r="G414" i="3" l="1"/>
  <c r="G413" i="3"/>
  <c r="G412" i="3"/>
  <c r="G744" i="3"/>
  <c r="G743" i="3"/>
  <c r="G742" i="3"/>
  <c r="G354" i="3"/>
  <c r="G353" i="3"/>
  <c r="G352" i="3"/>
  <c r="G364" i="3"/>
  <c r="G363" i="3"/>
  <c r="G362" i="3"/>
  <c r="G474" i="3"/>
  <c r="G473" i="3"/>
  <c r="G472" i="3"/>
  <c r="F681" i="3"/>
  <c r="H531" i="3"/>
  <c r="H831" i="3"/>
  <c r="G89" i="3"/>
  <c r="G411" i="3"/>
  <c r="H197" i="3"/>
  <c r="H41" i="3"/>
  <c r="H65" i="3"/>
  <c r="H291" i="3"/>
  <c r="H51" i="3"/>
  <c r="G351" i="3"/>
  <c r="H311" i="3"/>
  <c r="H217" i="3"/>
  <c r="E752" i="3" l="1"/>
  <c r="H383" i="3" l="1"/>
  <c r="H384" i="3"/>
  <c r="H382" i="3"/>
  <c r="H249" i="3" l="1"/>
  <c r="H258" i="3"/>
  <c r="E921" i="3" l="1"/>
  <c r="H924" i="3" l="1"/>
  <c r="H923" i="3"/>
  <c r="E922" i="3"/>
  <c r="H491" i="3" l="1"/>
  <c r="H167" i="3"/>
  <c r="H391" i="3"/>
  <c r="E29" i="3" l="1"/>
  <c r="E19" i="3"/>
  <c r="H250" i="3" l="1"/>
  <c r="H82" i="3"/>
  <c r="H81" i="3"/>
  <c r="H80" i="3"/>
  <c r="H89" i="3"/>
  <c r="H69" i="3"/>
  <c r="H904" i="3" l="1"/>
  <c r="H903" i="3"/>
  <c r="H914" i="3" l="1"/>
  <c r="H913" i="3"/>
  <c r="H912" i="3"/>
  <c r="E912" i="3" s="1"/>
  <c r="J957" i="3"/>
  <c r="F957" i="3"/>
  <c r="E936" i="3"/>
  <c r="E946" i="3"/>
  <c r="H893" i="3"/>
  <c r="H883" i="3"/>
  <c r="E843" i="3"/>
  <c r="E833" i="3"/>
  <c r="E823" i="3"/>
  <c r="E813" i="3"/>
  <c r="E803" i="3"/>
  <c r="E793" i="3"/>
  <c r="E783" i="3"/>
  <c r="E773" i="3"/>
  <c r="E763" i="3"/>
  <c r="E753" i="3"/>
  <c r="E743" i="3"/>
  <c r="E733" i="3"/>
  <c r="E723" i="3" l="1"/>
  <c r="E713" i="3"/>
  <c r="E703" i="3"/>
  <c r="E693" i="3"/>
  <c r="E683" i="3"/>
  <c r="I673" i="3"/>
  <c r="I957" i="3" s="1"/>
  <c r="E663" i="3"/>
  <c r="E653" i="3"/>
  <c r="E643" i="3"/>
  <c r="E633" i="3"/>
  <c r="E623" i="3"/>
  <c r="E613" i="3"/>
  <c r="E603" i="3"/>
  <c r="H673" i="3" l="1"/>
  <c r="E673" i="3" s="1"/>
  <c r="E593" i="3"/>
  <c r="E583" i="3"/>
  <c r="E573" i="3"/>
  <c r="E563" i="3"/>
  <c r="E553" i="3"/>
  <c r="E543" i="3"/>
  <c r="E533" i="3"/>
  <c r="E523" i="3"/>
  <c r="E513" i="3"/>
  <c r="E503" i="3"/>
  <c r="E493" i="3"/>
  <c r="E483" i="3"/>
  <c r="E473" i="3"/>
  <c r="E463" i="3"/>
  <c r="E453" i="3"/>
  <c r="E443" i="3"/>
  <c r="E433" i="3"/>
  <c r="E424" i="3"/>
  <c r="E423" i="3"/>
  <c r="E422" i="3"/>
  <c r="E413" i="3"/>
  <c r="E403" i="3"/>
  <c r="E393" i="3"/>
  <c r="E383" i="3"/>
  <c r="E373" i="3"/>
  <c r="E363" i="3"/>
  <c r="E353" i="3"/>
  <c r="G343" i="3"/>
  <c r="E343" i="3" s="1"/>
  <c r="E333" i="3"/>
  <c r="E323" i="3"/>
  <c r="E313" i="3"/>
  <c r="E303" i="3"/>
  <c r="E293" i="3"/>
  <c r="E283" i="3"/>
  <c r="E279" i="3"/>
  <c r="H248" i="3"/>
  <c r="E259" i="3"/>
  <c r="E249" i="3"/>
  <c r="E239" i="3"/>
  <c r="E229" i="3"/>
  <c r="E219" i="3"/>
  <c r="E209" i="3"/>
  <c r="E199" i="3"/>
  <c r="E189" i="3"/>
  <c r="G179" i="3"/>
  <c r="H159" i="3"/>
  <c r="H160" i="3"/>
  <c r="E149" i="3"/>
  <c r="E139" i="3"/>
  <c r="E111" i="3"/>
  <c r="E101" i="3"/>
  <c r="E67" i="3"/>
  <c r="E53" i="3"/>
  <c r="G169" i="3" l="1"/>
  <c r="E169" i="3" s="1"/>
  <c r="E179" i="3"/>
  <c r="E91" i="3"/>
  <c r="G81" i="3"/>
  <c r="I591" i="3"/>
  <c r="H591" i="3"/>
  <c r="H381" i="3"/>
  <c r="H821" i="3"/>
  <c r="G159" i="3" l="1"/>
  <c r="G957" i="3" s="1"/>
  <c r="E258" i="3"/>
  <c r="J958" i="3"/>
  <c r="J956" i="3"/>
  <c r="F956" i="3"/>
  <c r="J952" i="3"/>
  <c r="I952" i="3"/>
  <c r="H952" i="3"/>
  <c r="F952" i="3"/>
  <c r="J951" i="3"/>
  <c r="I951" i="3"/>
  <c r="H951" i="3"/>
  <c r="F951" i="3"/>
  <c r="J950" i="3"/>
  <c r="I950" i="3"/>
  <c r="H950" i="3"/>
  <c r="F950" i="3"/>
  <c r="J949" i="3"/>
  <c r="I949" i="3"/>
  <c r="H949" i="3"/>
  <c r="F949" i="3"/>
  <c r="J948" i="3"/>
  <c r="I948" i="3"/>
  <c r="F948" i="3"/>
  <c r="H944" i="3"/>
  <c r="G944" i="3"/>
  <c r="H943" i="3"/>
  <c r="G943" i="3"/>
  <c r="H942" i="3"/>
  <c r="G942" i="3"/>
  <c r="E941" i="3"/>
  <c r="E940" i="3"/>
  <c r="E939" i="3"/>
  <c r="E938" i="3"/>
  <c r="E937" i="3"/>
  <c r="E935" i="3"/>
  <c r="H934" i="3"/>
  <c r="G934" i="3"/>
  <c r="H933" i="3"/>
  <c r="G933" i="3"/>
  <c r="G932" i="3"/>
  <c r="E932" i="3" s="1"/>
  <c r="E931" i="3"/>
  <c r="E930" i="3"/>
  <c r="E929" i="3"/>
  <c r="E928" i="3"/>
  <c r="H894" i="3"/>
  <c r="H892" i="3"/>
  <c r="H884" i="3"/>
  <c r="H882" i="3"/>
  <c r="H881" i="3"/>
  <c r="E871" i="3"/>
  <c r="H860" i="3"/>
  <c r="E850" i="3"/>
  <c r="E844" i="3"/>
  <c r="E842" i="3"/>
  <c r="E841" i="3"/>
  <c r="E840" i="3"/>
  <c r="E834" i="3"/>
  <c r="E832" i="3"/>
  <c r="E831" i="3"/>
  <c r="H830" i="3"/>
  <c r="E830" i="3" s="1"/>
  <c r="E829" i="3"/>
  <c r="E828" i="3"/>
  <c r="E827" i="3"/>
  <c r="E826" i="3"/>
  <c r="E825" i="3"/>
  <c r="E824" i="3"/>
  <c r="E822" i="3"/>
  <c r="E821" i="3"/>
  <c r="H820" i="3"/>
  <c r="E820" i="3" s="1"/>
  <c r="E819" i="3"/>
  <c r="E818" i="3"/>
  <c r="E817" i="3"/>
  <c r="E816" i="3"/>
  <c r="E815" i="3"/>
  <c r="E814" i="3"/>
  <c r="E812" i="3"/>
  <c r="E811" i="3"/>
  <c r="E810" i="3"/>
  <c r="E809" i="3"/>
  <c r="E808" i="3"/>
  <c r="E807" i="3"/>
  <c r="E806" i="3"/>
  <c r="E805" i="3"/>
  <c r="E804" i="3"/>
  <c r="E802" i="3"/>
  <c r="E801" i="3"/>
  <c r="E800" i="3"/>
  <c r="E799" i="3"/>
  <c r="E798" i="3"/>
  <c r="E797" i="3"/>
  <c r="E796" i="3"/>
  <c r="E795" i="3"/>
  <c r="E794" i="3"/>
  <c r="E792" i="3"/>
  <c r="E791" i="3"/>
  <c r="H790" i="3"/>
  <c r="E790" i="3" s="1"/>
  <c r="E789" i="3"/>
  <c r="E788" i="3"/>
  <c r="E787" i="3"/>
  <c r="E786" i="3"/>
  <c r="E785" i="3"/>
  <c r="E784" i="3"/>
  <c r="E782" i="3"/>
  <c r="H781" i="3"/>
  <c r="E781" i="3" s="1"/>
  <c r="I780" i="3"/>
  <c r="H780" i="3"/>
  <c r="G780" i="3"/>
  <c r="E779" i="3"/>
  <c r="E778" i="3"/>
  <c r="E777" i="3"/>
  <c r="E776" i="3"/>
  <c r="E775" i="3"/>
  <c r="E774" i="3"/>
  <c r="E772" i="3"/>
  <c r="E771" i="3"/>
  <c r="I770" i="3"/>
  <c r="H770" i="3"/>
  <c r="G770" i="3"/>
  <c r="E769" i="3"/>
  <c r="E768" i="3"/>
  <c r="E767" i="3"/>
  <c r="E766" i="3"/>
  <c r="E765" i="3"/>
  <c r="E764" i="3"/>
  <c r="E762" i="3"/>
  <c r="G761" i="3"/>
  <c r="E761" i="3" s="1"/>
  <c r="G760" i="3"/>
  <c r="E760" i="3" s="1"/>
  <c r="E759" i="3"/>
  <c r="E758" i="3"/>
  <c r="E757" i="3"/>
  <c r="E756" i="3"/>
  <c r="E755" i="3"/>
  <c r="H754" i="3"/>
  <c r="E754" i="3" s="1"/>
  <c r="I751" i="3"/>
  <c r="H751" i="3" s="1"/>
  <c r="G751" i="3"/>
  <c r="I750" i="3"/>
  <c r="H750" i="3" s="1"/>
  <c r="E750" i="3" s="1"/>
  <c r="E749" i="3"/>
  <c r="E748" i="3"/>
  <c r="E747" i="3"/>
  <c r="E746" i="3"/>
  <c r="E745" i="3"/>
  <c r="C745" i="3"/>
  <c r="E744" i="3"/>
  <c r="E742" i="3"/>
  <c r="G741" i="3"/>
  <c r="E741" i="3" s="1"/>
  <c r="G740" i="3"/>
  <c r="E740" i="3" s="1"/>
  <c r="G739" i="3"/>
  <c r="E739" i="3" s="1"/>
  <c r="E738" i="3"/>
  <c r="E737" i="3"/>
  <c r="E736" i="3"/>
  <c r="E735" i="3"/>
  <c r="C735" i="3"/>
  <c r="E734" i="3"/>
  <c r="E732" i="3"/>
  <c r="E731" i="3"/>
  <c r="H730" i="3"/>
  <c r="E730" i="3" s="1"/>
  <c r="H729" i="3"/>
  <c r="E729" i="3" s="1"/>
  <c r="E728" i="3"/>
  <c r="E727" i="3"/>
  <c r="E726" i="3"/>
  <c r="E725" i="3"/>
  <c r="C725" i="3"/>
  <c r="E724" i="3"/>
  <c r="E722" i="3"/>
  <c r="E721" i="3"/>
  <c r="H720" i="3"/>
  <c r="E720" i="3" s="1"/>
  <c r="H719" i="3"/>
  <c r="E719" i="3" s="1"/>
  <c r="E718" i="3"/>
  <c r="E717" i="3"/>
  <c r="E716" i="3"/>
  <c r="E715" i="3"/>
  <c r="C715" i="3"/>
  <c r="E714" i="3"/>
  <c r="E712" i="3"/>
  <c r="E711" i="3"/>
  <c r="E710" i="3"/>
  <c r="E709" i="3"/>
  <c r="E708" i="3"/>
  <c r="E707" i="3"/>
  <c r="E706" i="3"/>
  <c r="E705" i="3"/>
  <c r="C705" i="3"/>
  <c r="E704" i="3"/>
  <c r="E702" i="3"/>
  <c r="E701" i="3"/>
  <c r="H700" i="3"/>
  <c r="E700" i="3" s="1"/>
  <c r="E699" i="3"/>
  <c r="E698" i="3"/>
  <c r="E697" i="3"/>
  <c r="E696" i="3"/>
  <c r="E695" i="3"/>
  <c r="C695" i="3"/>
  <c r="E694" i="3"/>
  <c r="E692" i="3"/>
  <c r="E691" i="3"/>
  <c r="E690" i="3"/>
  <c r="E689" i="3"/>
  <c r="E688" i="3"/>
  <c r="E687" i="3"/>
  <c r="E686" i="3"/>
  <c r="E685" i="3"/>
  <c r="C685" i="3"/>
  <c r="E684" i="3"/>
  <c r="E682" i="3"/>
  <c r="F955" i="3"/>
  <c r="F680" i="3"/>
  <c r="F954" i="3" s="1"/>
  <c r="F679" i="3"/>
  <c r="E678" i="3"/>
  <c r="E677" i="3"/>
  <c r="E676" i="3"/>
  <c r="E675" i="3"/>
  <c r="C675" i="3"/>
  <c r="I674" i="3"/>
  <c r="I958" i="3" s="1"/>
  <c r="I672" i="3"/>
  <c r="I670" i="3"/>
  <c r="H670" i="3" s="1"/>
  <c r="G670" i="3"/>
  <c r="H669" i="3"/>
  <c r="E669" i="3" s="1"/>
  <c r="E668" i="3"/>
  <c r="E667" i="3"/>
  <c r="E666" i="3"/>
  <c r="E665" i="3"/>
  <c r="C665" i="3"/>
  <c r="E664" i="3"/>
  <c r="E662" i="3"/>
  <c r="E661" i="3"/>
  <c r="E660" i="3"/>
  <c r="E659" i="3"/>
  <c r="E658" i="3"/>
  <c r="E657" i="3"/>
  <c r="E656" i="3"/>
  <c r="E655" i="3"/>
  <c r="C655" i="3"/>
  <c r="E654" i="3"/>
  <c r="E652" i="3"/>
  <c r="E651" i="3"/>
  <c r="E650" i="3"/>
  <c r="E649" i="3"/>
  <c r="E648" i="3"/>
  <c r="E647" i="3"/>
  <c r="E646" i="3"/>
  <c r="E645" i="3"/>
  <c r="C645" i="3"/>
  <c r="E644" i="3"/>
  <c r="E642" i="3"/>
  <c r="E641" i="3"/>
  <c r="E640" i="3"/>
  <c r="E639" i="3"/>
  <c r="E638" i="3"/>
  <c r="E637" i="3"/>
  <c r="E636" i="3"/>
  <c r="E635" i="3"/>
  <c r="C635" i="3"/>
  <c r="E634" i="3"/>
  <c r="E632" i="3"/>
  <c r="E631" i="3"/>
  <c r="E630" i="3"/>
  <c r="E629" i="3"/>
  <c r="E628" i="3"/>
  <c r="E627" i="3"/>
  <c r="E626" i="3"/>
  <c r="E625" i="3"/>
  <c r="C625" i="3"/>
  <c r="E624" i="3"/>
  <c r="E622" i="3"/>
  <c r="E621" i="3"/>
  <c r="E620" i="3"/>
  <c r="E619" i="3"/>
  <c r="E618" i="3"/>
  <c r="E617" i="3"/>
  <c r="E616" i="3"/>
  <c r="E615" i="3"/>
  <c r="C615" i="3"/>
  <c r="E614" i="3"/>
  <c r="E612" i="3"/>
  <c r="E611" i="3"/>
  <c r="E610" i="3"/>
  <c r="E609" i="3"/>
  <c r="E608" i="3"/>
  <c r="E607" i="3"/>
  <c r="E606" i="3"/>
  <c r="E605" i="3"/>
  <c r="C605" i="3"/>
  <c r="E604" i="3"/>
  <c r="E602" i="3"/>
  <c r="E601" i="3"/>
  <c r="E600" i="3"/>
  <c r="E599" i="3"/>
  <c r="E598" i="3"/>
  <c r="E597" i="3"/>
  <c r="E596" i="3"/>
  <c r="E595" i="3"/>
  <c r="C595" i="3"/>
  <c r="E594" i="3"/>
  <c r="E592" i="3"/>
  <c r="G591" i="3"/>
  <c r="I590" i="3"/>
  <c r="H590" i="3"/>
  <c r="G590" i="3"/>
  <c r="E589" i="3"/>
  <c r="E588" i="3"/>
  <c r="E587" i="3"/>
  <c r="E586" i="3"/>
  <c r="E585" i="3"/>
  <c r="C585" i="3"/>
  <c r="E584" i="3"/>
  <c r="E582" i="3"/>
  <c r="E581" i="3"/>
  <c r="E580" i="3"/>
  <c r="E579" i="3"/>
  <c r="E578" i="3"/>
  <c r="E577" i="3"/>
  <c r="E576" i="3"/>
  <c r="E575" i="3"/>
  <c r="C575" i="3"/>
  <c r="E574" i="3"/>
  <c r="E572" i="3"/>
  <c r="E571" i="3"/>
  <c r="E570" i="3"/>
  <c r="E569" i="3"/>
  <c r="E568" i="3"/>
  <c r="E567" i="3"/>
  <c r="E566" i="3"/>
  <c r="E565" i="3"/>
  <c r="C565" i="3"/>
  <c r="E564" i="3"/>
  <c r="E562" i="3"/>
  <c r="E561" i="3"/>
  <c r="E560" i="3"/>
  <c r="E559" i="3"/>
  <c r="E558" i="3"/>
  <c r="E557" i="3"/>
  <c r="E556" i="3"/>
  <c r="E555" i="3"/>
  <c r="C555" i="3"/>
  <c r="E554" i="3"/>
  <c r="E552" i="3"/>
  <c r="E551" i="3"/>
  <c r="E550" i="3"/>
  <c r="E549" i="3"/>
  <c r="E548" i="3"/>
  <c r="E547" i="3"/>
  <c r="E546" i="3"/>
  <c r="E545" i="3"/>
  <c r="C545" i="3"/>
  <c r="E544" i="3"/>
  <c r="E542" i="3"/>
  <c r="E541" i="3"/>
  <c r="E540" i="3"/>
  <c r="E539" i="3"/>
  <c r="E538" i="3"/>
  <c r="E537" i="3"/>
  <c r="E536" i="3"/>
  <c r="E535" i="3"/>
  <c r="C535" i="3"/>
  <c r="E534" i="3"/>
  <c r="E532" i="3"/>
  <c r="E531" i="3"/>
  <c r="H530" i="3"/>
  <c r="E530" i="3" s="1"/>
  <c r="H529" i="3"/>
  <c r="E529" i="3" s="1"/>
  <c r="E528" i="3"/>
  <c r="E527" i="3"/>
  <c r="E526" i="3"/>
  <c r="E525" i="3"/>
  <c r="C525" i="3"/>
  <c r="E524" i="3"/>
  <c r="E522" i="3"/>
  <c r="G521" i="3"/>
  <c r="E521" i="3" s="1"/>
  <c r="E520" i="3"/>
  <c r="E519" i="3"/>
  <c r="E518" i="3"/>
  <c r="E517" i="3"/>
  <c r="E516" i="3"/>
  <c r="E515" i="3"/>
  <c r="C515" i="3"/>
  <c r="E514" i="3"/>
  <c r="E512" i="3"/>
  <c r="E511" i="3"/>
  <c r="E510" i="3"/>
  <c r="E509" i="3"/>
  <c r="E508" i="3"/>
  <c r="E507" i="3"/>
  <c r="E506" i="3"/>
  <c r="E505" i="3"/>
  <c r="C505" i="3"/>
  <c r="E504" i="3"/>
  <c r="E502" i="3"/>
  <c r="E501" i="3"/>
  <c r="E500" i="3"/>
  <c r="E499" i="3"/>
  <c r="E498" i="3"/>
  <c r="E497" i="3"/>
  <c r="E496" i="3"/>
  <c r="E495" i="3"/>
  <c r="C495" i="3"/>
  <c r="E494" i="3"/>
  <c r="E492" i="3"/>
  <c r="E491" i="3"/>
  <c r="H490" i="3"/>
  <c r="E490" i="3" s="1"/>
  <c r="H489" i="3"/>
  <c r="E489" i="3" s="1"/>
  <c r="E488" i="3"/>
  <c r="E487" i="3"/>
  <c r="E486" i="3"/>
  <c r="E485" i="3"/>
  <c r="C485" i="3"/>
  <c r="E484" i="3"/>
  <c r="E482" i="3"/>
  <c r="E481" i="3"/>
  <c r="E480" i="3"/>
  <c r="E479" i="3"/>
  <c r="E478" i="3"/>
  <c r="E477" i="3"/>
  <c r="E476" i="3"/>
  <c r="E475" i="3"/>
  <c r="C475" i="3"/>
  <c r="E474" i="3"/>
  <c r="E472" i="3"/>
  <c r="G471" i="3"/>
  <c r="E471" i="3" s="1"/>
  <c r="G470" i="3"/>
  <c r="E470" i="3" s="1"/>
  <c r="G469" i="3"/>
  <c r="E469" i="3" s="1"/>
  <c r="E468" i="3"/>
  <c r="E467" i="3"/>
  <c r="E466" i="3"/>
  <c r="E465" i="3"/>
  <c r="C465" i="3"/>
  <c r="E464" i="3"/>
  <c r="E462" i="3"/>
  <c r="E461" i="3"/>
  <c r="E460" i="3"/>
  <c r="E459" i="3"/>
  <c r="E458" i="3"/>
  <c r="E457" i="3"/>
  <c r="E456" i="3"/>
  <c r="E455" i="3"/>
  <c r="C455" i="3"/>
  <c r="E454" i="3"/>
  <c r="E452" i="3"/>
  <c r="H451" i="3"/>
  <c r="E451" i="3" s="1"/>
  <c r="H450" i="3"/>
  <c r="E450" i="3" s="1"/>
  <c r="H449" i="3"/>
  <c r="E449" i="3" s="1"/>
  <c r="E448" i="3"/>
  <c r="E447" i="3"/>
  <c r="E446" i="3"/>
  <c r="E445" i="3"/>
  <c r="C445" i="3"/>
  <c r="E444" i="3"/>
  <c r="E442" i="3"/>
  <c r="E441" i="3"/>
  <c r="E440" i="3"/>
  <c r="E439" i="3"/>
  <c r="E438" i="3"/>
  <c r="E437" i="3"/>
  <c r="E436" i="3"/>
  <c r="E435" i="3"/>
  <c r="C435" i="3"/>
  <c r="E434" i="3"/>
  <c r="E432" i="3"/>
  <c r="E431" i="3"/>
  <c r="E430" i="3"/>
  <c r="I429" i="3"/>
  <c r="H429" i="3"/>
  <c r="G429" i="3"/>
  <c r="E428" i="3"/>
  <c r="E427" i="3"/>
  <c r="E426" i="3"/>
  <c r="E425" i="3"/>
  <c r="C425" i="3"/>
  <c r="E421" i="3"/>
  <c r="E420" i="3"/>
  <c r="H419" i="3"/>
  <c r="E419" i="3" s="1"/>
  <c r="E418" i="3"/>
  <c r="E417" i="3"/>
  <c r="E416" i="3"/>
  <c r="E415" i="3"/>
  <c r="C415" i="3"/>
  <c r="E414" i="3"/>
  <c r="E412" i="3"/>
  <c r="E411" i="3"/>
  <c r="G410" i="3"/>
  <c r="E410" i="3" s="1"/>
  <c r="G409" i="3"/>
  <c r="E409" i="3" s="1"/>
  <c r="E408" i="3"/>
  <c r="E407" i="3"/>
  <c r="E406" i="3"/>
  <c r="E405" i="3"/>
  <c r="C405" i="3"/>
  <c r="E404" i="3"/>
  <c r="E402" i="3"/>
  <c r="E401" i="3"/>
  <c r="E400" i="3"/>
  <c r="E399" i="3"/>
  <c r="E398" i="3"/>
  <c r="E397" i="3"/>
  <c r="E396" i="3"/>
  <c r="E395" i="3"/>
  <c r="C395" i="3"/>
  <c r="E394" i="3"/>
  <c r="E392" i="3"/>
  <c r="E391" i="3"/>
  <c r="H390" i="3"/>
  <c r="E390" i="3" s="1"/>
  <c r="E389" i="3"/>
  <c r="E388" i="3"/>
  <c r="E387" i="3"/>
  <c r="E386" i="3"/>
  <c r="E385" i="3"/>
  <c r="C385" i="3"/>
  <c r="E384" i="3"/>
  <c r="E382" i="3"/>
  <c r="E381" i="3"/>
  <c r="H380" i="3"/>
  <c r="E380" i="3" s="1"/>
  <c r="H379" i="3"/>
  <c r="E379" i="3" s="1"/>
  <c r="E378" i="3"/>
  <c r="E377" i="3"/>
  <c r="E376" i="3"/>
  <c r="E375" i="3"/>
  <c r="C375" i="3"/>
  <c r="E374" i="3"/>
  <c r="E372" i="3"/>
  <c r="H371" i="3"/>
  <c r="E371" i="3" s="1"/>
  <c r="H370" i="3"/>
  <c r="E370" i="3" s="1"/>
  <c r="H369" i="3"/>
  <c r="E369" i="3" s="1"/>
  <c r="E368" i="3"/>
  <c r="E367" i="3"/>
  <c r="E366" i="3"/>
  <c r="E365" i="3"/>
  <c r="C365" i="3"/>
  <c r="E364" i="3"/>
  <c r="E362" i="3"/>
  <c r="G361" i="3"/>
  <c r="E361" i="3" s="1"/>
  <c r="G360" i="3"/>
  <c r="E360" i="3" s="1"/>
  <c r="G359" i="3"/>
  <c r="E359" i="3" s="1"/>
  <c r="E358" i="3"/>
  <c r="E357" i="3"/>
  <c r="E356" i="3"/>
  <c r="E355" i="3"/>
  <c r="C355" i="3"/>
  <c r="E354" i="3"/>
  <c r="E352" i="3"/>
  <c r="E351" i="3"/>
  <c r="G350" i="3"/>
  <c r="E350" i="3" s="1"/>
  <c r="G349" i="3"/>
  <c r="E349" i="3" s="1"/>
  <c r="E348" i="3"/>
  <c r="E347" i="3"/>
  <c r="E346" i="3"/>
  <c r="E345" i="3"/>
  <c r="C345" i="3"/>
  <c r="E344" i="3"/>
  <c r="G342" i="3"/>
  <c r="E342" i="3" s="1"/>
  <c r="G341" i="3"/>
  <c r="E341" i="3" s="1"/>
  <c r="E340" i="3"/>
  <c r="E339" i="3"/>
  <c r="E338" i="3"/>
  <c r="E337" i="3"/>
  <c r="E336" i="3"/>
  <c r="E335" i="3"/>
  <c r="C335" i="3"/>
  <c r="E334" i="3"/>
  <c r="E332" i="3"/>
  <c r="E331" i="3"/>
  <c r="E330" i="3"/>
  <c r="E329" i="3"/>
  <c r="E328" i="3"/>
  <c r="E327" i="3"/>
  <c r="E326" i="3"/>
  <c r="E325" i="3"/>
  <c r="E324" i="3"/>
  <c r="E322" i="3"/>
  <c r="H321" i="3"/>
  <c r="E321" i="3" s="1"/>
  <c r="H320" i="3"/>
  <c r="E320" i="3" s="1"/>
  <c r="E319" i="3"/>
  <c r="E318" i="3"/>
  <c r="E317" i="3"/>
  <c r="E316" i="3"/>
  <c r="E315" i="3"/>
  <c r="E314" i="3"/>
  <c r="E312" i="3"/>
  <c r="E311" i="3"/>
  <c r="E310" i="3"/>
  <c r="E309" i="3"/>
  <c r="E308" i="3"/>
  <c r="E307" i="3"/>
  <c r="E306" i="3"/>
  <c r="E305" i="3"/>
  <c r="E304" i="3"/>
  <c r="E302" i="3"/>
  <c r="E301" i="3"/>
  <c r="E300" i="3"/>
  <c r="E299" i="3"/>
  <c r="E298" i="3"/>
  <c r="E297" i="3"/>
  <c r="E296" i="3"/>
  <c r="E295" i="3"/>
  <c r="E294" i="3"/>
  <c r="E292" i="3"/>
  <c r="E291" i="3"/>
  <c r="E290" i="3"/>
  <c r="E289" i="3"/>
  <c r="E288" i="3"/>
  <c r="E287" i="3"/>
  <c r="E286" i="3"/>
  <c r="E285" i="3"/>
  <c r="E284" i="3"/>
  <c r="E282" i="3"/>
  <c r="H281" i="3"/>
  <c r="H257" i="3" s="1"/>
  <c r="E280" i="3"/>
  <c r="E278" i="3"/>
  <c r="E276" i="3"/>
  <c r="E275" i="3"/>
  <c r="E274" i="3"/>
  <c r="E273" i="3"/>
  <c r="E272" i="3"/>
  <c r="E271" i="3"/>
  <c r="E270" i="3"/>
  <c r="E268" i="3"/>
  <c r="E267" i="3"/>
  <c r="H266" i="3"/>
  <c r="E266" i="3" s="1"/>
  <c r="H265" i="3"/>
  <c r="H255" i="3" s="1"/>
  <c r="E255" i="3" s="1"/>
  <c r="E264" i="3"/>
  <c r="E263" i="3"/>
  <c r="E262" i="3"/>
  <c r="E261" i="3"/>
  <c r="E260" i="3"/>
  <c r="M256" i="3"/>
  <c r="E254" i="3"/>
  <c r="E253" i="3"/>
  <c r="E252" i="3"/>
  <c r="E251" i="3"/>
  <c r="C251" i="3"/>
  <c r="H244" i="3"/>
  <c r="E244" i="3" s="1"/>
  <c r="H243" i="3"/>
  <c r="E243" i="3" s="1"/>
  <c r="H242" i="3"/>
  <c r="E242" i="3" s="1"/>
  <c r="H241" i="3"/>
  <c r="E241" i="3" s="1"/>
  <c r="E240" i="3"/>
  <c r="E238" i="3"/>
  <c r="J237" i="3"/>
  <c r="E237" i="3" s="1"/>
  <c r="J236" i="3"/>
  <c r="E236" i="3" s="1"/>
  <c r="E235" i="3"/>
  <c r="E234" i="3"/>
  <c r="E233" i="3"/>
  <c r="E232" i="3"/>
  <c r="E231" i="3"/>
  <c r="E230" i="3"/>
  <c r="E228" i="3"/>
  <c r="E227" i="3"/>
  <c r="E226" i="3"/>
  <c r="E225" i="3"/>
  <c r="E224" i="3"/>
  <c r="E223" i="3"/>
  <c r="E222" i="3"/>
  <c r="E221" i="3"/>
  <c r="E220" i="3"/>
  <c r="E218" i="3"/>
  <c r="E217" i="3"/>
  <c r="H216" i="3"/>
  <c r="E216" i="3" s="1"/>
  <c r="H215" i="3"/>
  <c r="E215" i="3" s="1"/>
  <c r="E214" i="3"/>
  <c r="E213" i="3"/>
  <c r="E212" i="3"/>
  <c r="E211" i="3"/>
  <c r="E207" i="3"/>
  <c r="H206" i="3"/>
  <c r="E206" i="3" s="1"/>
  <c r="H205" i="3"/>
  <c r="E205" i="3" s="1"/>
  <c r="E204" i="3"/>
  <c r="E203" i="3"/>
  <c r="E202" i="3"/>
  <c r="E201" i="3"/>
  <c r="E200" i="3"/>
  <c r="E198" i="3"/>
  <c r="H196" i="3"/>
  <c r="E196" i="3" s="1"/>
  <c r="H195" i="3"/>
  <c r="E195" i="3" s="1"/>
  <c r="E194" i="3"/>
  <c r="E193" i="3"/>
  <c r="E192" i="3"/>
  <c r="E191" i="3"/>
  <c r="E190" i="3"/>
  <c r="E188" i="3"/>
  <c r="E187" i="3"/>
  <c r="E186" i="3"/>
  <c r="E185" i="3"/>
  <c r="E184" i="3"/>
  <c r="E183" i="3"/>
  <c r="E182" i="3"/>
  <c r="E181" i="3"/>
  <c r="G178" i="3"/>
  <c r="G177" i="3"/>
  <c r="G167" i="3" s="1"/>
  <c r="G176" i="3"/>
  <c r="E176" i="3" s="1"/>
  <c r="E175" i="3"/>
  <c r="E174" i="3"/>
  <c r="E173" i="3"/>
  <c r="E172" i="3"/>
  <c r="E171" i="3"/>
  <c r="H166" i="3"/>
  <c r="G166" i="3"/>
  <c r="H165" i="3"/>
  <c r="G165" i="3"/>
  <c r="E164" i="3"/>
  <c r="E163" i="3"/>
  <c r="E162" i="3"/>
  <c r="E161" i="3"/>
  <c r="H154" i="3"/>
  <c r="G154" i="3"/>
  <c r="H153" i="3"/>
  <c r="G153" i="3"/>
  <c r="H152" i="3"/>
  <c r="G152" i="3"/>
  <c r="H151" i="3"/>
  <c r="G151" i="3"/>
  <c r="E150" i="3"/>
  <c r="E148" i="3"/>
  <c r="J147" i="3"/>
  <c r="J146" i="3"/>
  <c r="J145" i="3"/>
  <c r="E144" i="3"/>
  <c r="E143" i="3"/>
  <c r="E142" i="3"/>
  <c r="E141" i="3"/>
  <c r="E140"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0" i="3"/>
  <c r="E109" i="3"/>
  <c r="E108" i="3"/>
  <c r="E107" i="3"/>
  <c r="E106" i="3"/>
  <c r="E105" i="3"/>
  <c r="E104" i="3"/>
  <c r="E103" i="3"/>
  <c r="E102" i="3"/>
  <c r="E100" i="3"/>
  <c r="E99" i="3"/>
  <c r="G98" i="3"/>
  <c r="E98" i="3" s="1"/>
  <c r="E97" i="3"/>
  <c r="E96" i="3"/>
  <c r="E95" i="3"/>
  <c r="E94" i="3"/>
  <c r="E93" i="3"/>
  <c r="G82" i="3"/>
  <c r="H88" i="3"/>
  <c r="H78" i="3" s="1"/>
  <c r="G88" i="3"/>
  <c r="H87" i="3"/>
  <c r="H77" i="3" s="1"/>
  <c r="G87" i="3"/>
  <c r="E86" i="3"/>
  <c r="E85" i="3"/>
  <c r="E84" i="3"/>
  <c r="E83" i="3"/>
  <c r="H76" i="3"/>
  <c r="G76" i="3"/>
  <c r="H75" i="3"/>
  <c r="G75" i="3"/>
  <c r="H74" i="3"/>
  <c r="G74" i="3"/>
  <c r="H73" i="3"/>
  <c r="G73" i="3"/>
  <c r="J69" i="3"/>
  <c r="I69" i="3"/>
  <c r="G69" i="3"/>
  <c r="F69" i="3"/>
  <c r="E68" i="3"/>
  <c r="E66" i="3"/>
  <c r="E65" i="3"/>
  <c r="E64" i="3"/>
  <c r="E63" i="3"/>
  <c r="E62" i="3"/>
  <c r="E61" i="3"/>
  <c r="E60" i="3"/>
  <c r="E59" i="3"/>
  <c r="J55" i="3"/>
  <c r="I55" i="3"/>
  <c r="G55" i="3"/>
  <c r="F55" i="3"/>
  <c r="E54" i="3"/>
  <c r="E52" i="3"/>
  <c r="E51" i="3"/>
  <c r="H50" i="3"/>
  <c r="H55" i="3" s="1"/>
  <c r="E49" i="3"/>
  <c r="E48" i="3"/>
  <c r="E47" i="3"/>
  <c r="E46" i="3"/>
  <c r="E45" i="3"/>
  <c r="E44" i="3"/>
  <c r="E42" i="3"/>
  <c r="E41" i="3"/>
  <c r="E40" i="3"/>
  <c r="E39" i="3"/>
  <c r="E38" i="3"/>
  <c r="E37" i="3"/>
  <c r="E36" i="3"/>
  <c r="E35" i="3"/>
  <c r="J31" i="3"/>
  <c r="I31" i="3"/>
  <c r="G31" i="3"/>
  <c r="F31" i="3"/>
  <c r="E30" i="3"/>
  <c r="H28" i="3"/>
  <c r="H27" i="3"/>
  <c r="E27" i="3" s="1"/>
  <c r="H26" i="3"/>
  <c r="E25" i="3"/>
  <c r="E24" i="3"/>
  <c r="E23" i="3"/>
  <c r="E22" i="3"/>
  <c r="E21" i="3"/>
  <c r="E20" i="3"/>
  <c r="E18" i="3"/>
  <c r="H17" i="3"/>
  <c r="H16" i="3"/>
  <c r="E16" i="3" s="1"/>
  <c r="E15" i="3"/>
  <c r="E14" i="3"/>
  <c r="E13" i="3"/>
  <c r="E12" i="3"/>
  <c r="E11" i="3"/>
  <c r="G168" i="3" l="1"/>
  <c r="G925" i="3" s="1"/>
  <c r="I955" i="3"/>
  <c r="H247" i="3"/>
  <c r="E247" i="3" s="1"/>
  <c r="F925" i="3"/>
  <c r="H957" i="3"/>
  <c r="E957" i="3" s="1"/>
  <c r="H955" i="3"/>
  <c r="M955" i="3" s="1"/>
  <c r="F953" i="3"/>
  <c r="F959" i="3" s="1"/>
  <c r="E28" i="3"/>
  <c r="H672" i="3"/>
  <c r="E672" i="3" s="1"/>
  <c r="I956" i="3"/>
  <c r="G77" i="3"/>
  <c r="E77" i="3" s="1"/>
  <c r="J953" i="3"/>
  <c r="J925" i="3"/>
  <c r="I925" i="3"/>
  <c r="H948" i="3"/>
  <c r="H79" i="3"/>
  <c r="E17" i="3"/>
  <c r="E90" i="3"/>
  <c r="E81" i="3"/>
  <c r="E55" i="3"/>
  <c r="E208" i="3"/>
  <c r="H158" i="3"/>
  <c r="E679" i="3"/>
  <c r="E945" i="3"/>
  <c r="E153" i="3"/>
  <c r="E590" i="3"/>
  <c r="E73" i="3"/>
  <c r="E74" i="3"/>
  <c r="E76" i="3"/>
  <c r="H155" i="3"/>
  <c r="E166" i="3"/>
  <c r="H157" i="3"/>
  <c r="E154" i="3"/>
  <c r="G949" i="3"/>
  <c r="H156" i="3"/>
  <c r="E429" i="3"/>
  <c r="G80" i="3"/>
  <c r="E80" i="3" s="1"/>
  <c r="E69" i="3"/>
  <c r="E165" i="3"/>
  <c r="E178" i="3"/>
  <c r="E197" i="3"/>
  <c r="E210" i="3"/>
  <c r="E281" i="3"/>
  <c r="E934" i="3"/>
  <c r="E944" i="3"/>
  <c r="J955" i="3"/>
  <c r="E89" i="3"/>
  <c r="E92" i="3"/>
  <c r="E145" i="3"/>
  <c r="E591" i="3"/>
  <c r="E681" i="3"/>
  <c r="E152" i="3"/>
  <c r="E82" i="3"/>
  <c r="E257" i="3"/>
  <c r="E680" i="3"/>
  <c r="E770" i="3"/>
  <c r="E933" i="3"/>
  <c r="H31" i="3"/>
  <c r="E31" i="3" s="1"/>
  <c r="G155" i="3"/>
  <c r="H245" i="3"/>
  <c r="E245" i="3" s="1"/>
  <c r="M925" i="3"/>
  <c r="G79" i="3"/>
  <c r="H256" i="3"/>
  <c r="H246" i="3" s="1"/>
  <c r="E751" i="3"/>
  <c r="E943" i="3"/>
  <c r="E26" i="3"/>
  <c r="G951" i="3"/>
  <c r="E951" i="3" s="1"/>
  <c r="E147" i="3"/>
  <c r="E151" i="3"/>
  <c r="G156" i="3"/>
  <c r="E250" i="3"/>
  <c r="E265" i="3"/>
  <c r="I954" i="3"/>
  <c r="I959" i="3" s="1"/>
  <c r="E942" i="3"/>
  <c r="I953" i="3"/>
  <c r="H674" i="3"/>
  <c r="H958" i="3" s="1"/>
  <c r="G950" i="3"/>
  <c r="E950" i="3" s="1"/>
  <c r="H953" i="3"/>
  <c r="E88" i="3"/>
  <c r="E180" i="3"/>
  <c r="E159" i="3"/>
  <c r="G948" i="3"/>
  <c r="G952" i="3"/>
  <c r="E952" i="3" s="1"/>
  <c r="E50" i="3"/>
  <c r="E75" i="3"/>
  <c r="G78" i="3"/>
  <c r="E87" i="3"/>
  <c r="J954" i="3"/>
  <c r="E146" i="3"/>
  <c r="E177" i="3"/>
  <c r="E248" i="3"/>
  <c r="E670" i="3"/>
  <c r="E780" i="3"/>
  <c r="E947" i="3"/>
  <c r="E168" i="3" l="1"/>
  <c r="G158" i="3"/>
  <c r="H956" i="3"/>
  <c r="M956" i="3" s="1"/>
  <c r="H925" i="3"/>
  <c r="E925" i="3" s="1"/>
  <c r="J959" i="3"/>
  <c r="E79" i="3"/>
  <c r="H954" i="3"/>
  <c r="E674" i="3"/>
  <c r="M958" i="3"/>
  <c r="E949" i="3"/>
  <c r="E155" i="3"/>
  <c r="G953" i="3"/>
  <c r="E953" i="3" s="1"/>
  <c r="E156" i="3"/>
  <c r="E948" i="3"/>
  <c r="E256" i="3"/>
  <c r="E170" i="3"/>
  <c r="G160" i="3"/>
  <c r="G958" i="3" s="1"/>
  <c r="E958" i="3" s="1"/>
  <c r="E158" i="3"/>
  <c r="G956" i="3"/>
  <c r="E167" i="3"/>
  <c r="G157" i="3"/>
  <c r="G954" i="3"/>
  <c r="E78" i="3"/>
  <c r="M928" i="3"/>
  <c r="M831" i="3" l="1"/>
  <c r="M832" i="3" s="1"/>
  <c r="G955" i="3"/>
  <c r="E955" i="3" s="1"/>
  <c r="E956" i="3"/>
  <c r="H959" i="3"/>
  <c r="E246" i="3"/>
  <c r="M927" i="3"/>
  <c r="M935" i="3"/>
  <c r="M926" i="3"/>
  <c r="E157" i="3"/>
  <c r="E954" i="3"/>
  <c r="E160" i="3"/>
  <c r="G959" i="3" l="1"/>
  <c r="E959" i="3" s="1"/>
  <c r="N96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35" authorId="0" shapeId="0" xr:uid="{00000000-0006-0000-0000-000001000000}">
      <text>
        <r>
          <rPr>
            <b/>
            <sz val="13"/>
            <color indexed="81"/>
            <rFont val="Tahoma"/>
            <family val="2"/>
            <charset val="204"/>
          </rPr>
          <t>Автор:</t>
        </r>
        <r>
          <rPr>
            <sz val="13"/>
            <color indexed="81"/>
            <rFont val="Tahoma"/>
            <family val="2"/>
            <charset val="204"/>
          </rPr>
          <t xml:space="preserve">
0110210500
квр 244
уо
</t>
        </r>
      </text>
    </comment>
    <comment ref="B45" authorId="0" shapeId="0" xr:uid="{00000000-0006-0000-0000-000002000000}">
      <text>
        <r>
          <rPr>
            <b/>
            <sz val="9"/>
            <color indexed="81"/>
            <rFont val="Tahoma"/>
            <family val="2"/>
            <charset val="204"/>
          </rPr>
          <t>Автор:</t>
        </r>
        <r>
          <rPr>
            <sz val="9"/>
            <color indexed="81"/>
            <rFont val="Tahoma"/>
            <family val="2"/>
            <charset val="204"/>
          </rPr>
          <t xml:space="preserve">
011.50.10500.31
</t>
        </r>
      </text>
    </comment>
    <comment ref="B59" authorId="0" shapeId="0" xr:uid="{00000000-0006-0000-0000-000003000000}">
      <text>
        <r>
          <rPr>
            <b/>
            <sz val="9"/>
            <color indexed="81"/>
            <rFont val="Tahoma"/>
            <family val="2"/>
            <charset val="204"/>
          </rPr>
          <t>Автор:</t>
        </r>
        <r>
          <rPr>
            <sz val="9"/>
            <color indexed="81"/>
            <rFont val="Tahoma"/>
            <family val="2"/>
            <charset val="204"/>
          </rPr>
          <t xml:space="preserve">
</t>
        </r>
        <r>
          <rPr>
            <sz val="11"/>
            <color indexed="81"/>
            <rFont val="Tahoma"/>
            <family val="2"/>
            <charset val="204"/>
          </rPr>
          <t>011.03.10500,27</t>
        </r>
      </text>
    </comment>
    <comment ref="B83" authorId="0" shapeId="0" xr:uid="{00000000-0006-0000-0000-000004000000}">
      <text>
        <r>
          <rPr>
            <b/>
            <sz val="9"/>
            <color indexed="81"/>
            <rFont val="Tahoma"/>
            <family val="2"/>
            <charset val="204"/>
          </rPr>
          <t>Автор:</t>
        </r>
        <r>
          <rPr>
            <sz val="9"/>
            <color indexed="81"/>
            <rFont val="Tahoma"/>
            <family val="2"/>
            <charset val="204"/>
          </rPr>
          <t xml:space="preserve">
124.003.012
</t>
        </r>
      </text>
    </comment>
    <comment ref="B93" authorId="0" shapeId="0" xr:uid="{00000000-0006-0000-0000-000005000000}">
      <text>
        <r>
          <rPr>
            <b/>
            <sz val="9"/>
            <color indexed="81"/>
            <rFont val="Tahoma"/>
            <family val="2"/>
            <charset val="204"/>
          </rPr>
          <t>Автор:</t>
        </r>
        <r>
          <rPr>
            <sz val="9"/>
            <color indexed="81"/>
            <rFont val="Tahoma"/>
            <family val="2"/>
            <charset val="204"/>
          </rPr>
          <t xml:space="preserve">
124.003.012
011.51.60860,01
</t>
        </r>
      </text>
    </comment>
    <comment ref="B103" authorId="0" shapeId="0" xr:uid="{00000000-0006-0000-0000-000006000000}">
      <text>
        <r>
          <rPr>
            <b/>
            <sz val="9"/>
            <color indexed="81"/>
            <rFont val="Tahoma"/>
            <family val="2"/>
            <charset val="204"/>
          </rPr>
          <t>Автор:</t>
        </r>
        <r>
          <rPr>
            <sz val="9"/>
            <color indexed="81"/>
            <rFont val="Tahoma"/>
            <family val="2"/>
            <charset val="204"/>
          </rPr>
          <t xml:space="preserve">
011.51.10500.42</t>
        </r>
      </text>
    </comment>
    <comment ref="B131" authorId="0" shapeId="0" xr:uid="{00000000-0006-0000-0000-000007000000}">
      <text>
        <r>
          <rPr>
            <b/>
            <sz val="12"/>
            <color indexed="81"/>
            <rFont val="Tahoma"/>
            <family val="2"/>
            <charset val="204"/>
          </rPr>
          <t>Автор:</t>
        </r>
        <r>
          <rPr>
            <sz val="12"/>
            <color indexed="81"/>
            <rFont val="Tahoma"/>
            <family val="2"/>
            <charset val="204"/>
          </rPr>
          <t xml:space="preserve">
011.51.10500.48</t>
        </r>
      </text>
    </comment>
    <comment ref="B161" authorId="0" shapeId="0" xr:uid="{00000000-0006-0000-0000-000008000000}">
      <text>
        <r>
          <rPr>
            <b/>
            <sz val="12"/>
            <color indexed="81"/>
            <rFont val="Calibri Light"/>
            <family val="2"/>
            <charset val="204"/>
            <scheme val="major"/>
          </rPr>
          <t>Автор:</t>
        </r>
        <r>
          <rPr>
            <sz val="12"/>
            <color indexed="81"/>
            <rFont val="Calibri Light"/>
            <family val="2"/>
            <charset val="204"/>
            <scheme val="major"/>
          </rPr>
          <t xml:space="preserve">
124.003.013
</t>
        </r>
      </text>
    </comment>
    <comment ref="B171" authorId="0" shapeId="0" xr:uid="{00000000-0006-0000-0000-000009000000}">
      <text>
        <r>
          <rPr>
            <b/>
            <sz val="12"/>
            <color indexed="81"/>
            <rFont val="Tahoma"/>
            <family val="2"/>
            <charset val="204"/>
          </rPr>
          <t>Автор:</t>
        </r>
        <r>
          <rPr>
            <sz val="12"/>
            <color indexed="81"/>
            <rFont val="Tahoma"/>
            <family val="2"/>
            <charset val="204"/>
          </rPr>
          <t xml:space="preserve">
011.52.60860.01
124.003.013</t>
        </r>
      </text>
    </comment>
    <comment ref="B191" authorId="0" shapeId="0" xr:uid="{00000000-0006-0000-0000-00000A000000}">
      <text>
        <r>
          <rPr>
            <b/>
            <sz val="12"/>
            <color indexed="81"/>
            <rFont val="Tahoma"/>
            <family val="2"/>
            <charset val="204"/>
          </rPr>
          <t>Автор:</t>
        </r>
        <r>
          <rPr>
            <sz val="12"/>
            <color indexed="81"/>
            <rFont val="Tahoma"/>
            <family val="2"/>
            <charset val="204"/>
          </rPr>
          <t xml:space="preserve">
011.52.10500.35</t>
        </r>
      </text>
    </comment>
    <comment ref="B201" authorId="0" shapeId="0" xr:uid="{00000000-0006-0000-0000-00000B000000}">
      <text>
        <r>
          <rPr>
            <b/>
            <sz val="9"/>
            <color indexed="81"/>
            <rFont val="Tahoma"/>
            <charset val="1"/>
          </rPr>
          <t>Автор:</t>
        </r>
        <r>
          <rPr>
            <sz val="9"/>
            <color indexed="81"/>
            <rFont val="Tahoma"/>
            <charset val="1"/>
          </rPr>
          <t xml:space="preserve">
011.52.10500.12
</t>
        </r>
      </text>
    </comment>
    <comment ref="B211" authorId="0" shapeId="0" xr:uid="{00000000-0006-0000-0000-00000C000000}">
      <text>
        <r>
          <rPr>
            <b/>
            <sz val="11"/>
            <color indexed="81"/>
            <rFont val="Tahoma"/>
            <family val="2"/>
            <charset val="204"/>
          </rPr>
          <t>Автор:</t>
        </r>
        <r>
          <rPr>
            <sz val="11"/>
            <color indexed="81"/>
            <rFont val="Tahoma"/>
            <family val="2"/>
            <charset val="204"/>
          </rPr>
          <t xml:space="preserve">
011.52.10500.13</t>
        </r>
      </text>
    </comment>
    <comment ref="B251" authorId="0" shapeId="0" xr:uid="{00000000-0006-0000-0000-00000D000000}">
      <text>
        <r>
          <rPr>
            <b/>
            <sz val="11"/>
            <color indexed="81"/>
            <rFont val="Tahoma"/>
            <family val="2"/>
            <charset val="204"/>
          </rPr>
          <t>Автор:</t>
        </r>
        <r>
          <rPr>
            <sz val="11"/>
            <color indexed="81"/>
            <rFont val="Tahoma"/>
            <family val="2"/>
            <charset val="204"/>
          </rPr>
          <t xml:space="preserve">
ЦСР 0115300590</t>
        </r>
      </text>
    </comment>
    <comment ref="B261" authorId="0" shapeId="0" xr:uid="{00000000-0006-0000-0000-00000E000000}">
      <text>
        <r>
          <rPr>
            <b/>
            <sz val="9"/>
            <color indexed="81"/>
            <rFont val="Tahoma"/>
            <family val="2"/>
            <charset val="204"/>
          </rPr>
          <t xml:space="preserve">USER:ЦСР 
</t>
        </r>
        <r>
          <rPr>
            <b/>
            <sz val="11"/>
            <color indexed="81"/>
            <rFont val="Tahoma"/>
            <family val="2"/>
            <charset val="204"/>
          </rPr>
          <t>0115500590</t>
        </r>
      </text>
    </comment>
    <comment ref="B271" authorId="0" shapeId="0" xr:uid="{00000000-0006-0000-0000-00000F000000}">
      <text>
        <r>
          <rPr>
            <b/>
            <sz val="12"/>
            <color indexed="81"/>
            <rFont val="Tahoma"/>
            <family val="2"/>
            <charset val="204"/>
          </rPr>
          <t>Автор:</t>
        </r>
        <r>
          <rPr>
            <sz val="12"/>
            <color indexed="81"/>
            <rFont val="Tahoma"/>
            <family val="2"/>
            <charset val="204"/>
          </rPr>
          <t xml:space="preserve">
ЦСР 0115500590
ВР 614, 624</t>
        </r>
      </text>
    </comment>
    <comment ref="B285" authorId="0" shapeId="0" xr:uid="{00000000-0006-0000-0000-000010000000}">
      <text>
        <r>
          <rPr>
            <b/>
            <sz val="12"/>
            <color indexed="81"/>
            <rFont val="Tahoma"/>
            <family val="2"/>
            <charset val="204"/>
          </rPr>
          <t>Автор:</t>
        </r>
        <r>
          <rPr>
            <sz val="12"/>
            <color indexed="81"/>
            <rFont val="Tahoma"/>
            <family val="2"/>
            <charset val="204"/>
          </rPr>
          <t xml:space="preserve">
011.53.10500.27</t>
        </r>
      </text>
    </comment>
    <comment ref="B305" authorId="0" shapeId="0" xr:uid="{00000000-0006-0000-0000-000011000000}">
      <text>
        <r>
          <rPr>
            <b/>
            <sz val="12"/>
            <color indexed="81"/>
            <rFont val="Tahoma"/>
            <family val="2"/>
            <charset val="204"/>
          </rPr>
          <t>Автор:</t>
        </r>
        <r>
          <rPr>
            <sz val="12"/>
            <color indexed="81"/>
            <rFont val="Tahoma"/>
            <family val="2"/>
            <charset val="204"/>
          </rPr>
          <t xml:space="preserve">
011.53.20090.01</t>
        </r>
      </text>
    </comment>
    <comment ref="B315" authorId="0" shapeId="0" xr:uid="{00000000-0006-0000-0000-000012000000}">
      <text>
        <r>
          <rPr>
            <b/>
            <sz val="12"/>
            <color indexed="81"/>
            <rFont val="Tahoma"/>
            <family val="2"/>
            <charset val="204"/>
          </rPr>
          <t>Автор:</t>
        </r>
        <r>
          <rPr>
            <sz val="12"/>
            <color indexed="81"/>
            <rFont val="Tahoma"/>
            <family val="2"/>
            <charset val="204"/>
          </rPr>
          <t xml:space="preserve">
0115500590</t>
        </r>
      </text>
    </comment>
    <comment ref="B335" authorId="0" shapeId="0" xr:uid="{00000000-0006-0000-0000-000013000000}">
      <text>
        <r>
          <rPr>
            <b/>
            <sz val="12"/>
            <color indexed="81"/>
            <rFont val="Tahoma"/>
            <family val="2"/>
            <charset val="204"/>
          </rPr>
          <t>Автор:</t>
        </r>
        <r>
          <rPr>
            <sz val="12"/>
            <color indexed="81"/>
            <rFont val="Tahoma"/>
            <family val="2"/>
            <charset val="204"/>
          </rPr>
          <t xml:space="preserve">
ВР 811
0115162460</t>
        </r>
      </text>
    </comment>
    <comment ref="B345" authorId="0" shapeId="0" xr:uid="{00000000-0006-0000-0000-000014000000}">
      <text>
        <r>
          <rPr>
            <b/>
            <sz val="11"/>
            <color indexed="81"/>
            <rFont val="Tahoma"/>
            <family val="2"/>
            <charset val="204"/>
          </rPr>
          <t>Автор:</t>
        </r>
        <r>
          <rPr>
            <sz val="11"/>
            <color indexed="81"/>
            <rFont val="Tahoma"/>
            <family val="2"/>
            <charset val="204"/>
          </rPr>
          <t xml:space="preserve">
123.003.019                              
011.51.60820.05
123.003.23
011.52.60820.15
123.003.022
011.53.60820.26</t>
        </r>
      </text>
    </comment>
    <comment ref="B355" authorId="0" shapeId="0" xr:uid="{00000000-0006-0000-0000-000015000000}">
      <text>
        <r>
          <rPr>
            <b/>
            <sz val="11"/>
            <color indexed="81"/>
            <rFont val="Tahoma"/>
            <family val="2"/>
            <charset val="204"/>
          </rPr>
          <t>Автор:</t>
        </r>
        <r>
          <rPr>
            <sz val="11"/>
            <color indexed="81"/>
            <rFont val="Tahoma"/>
            <family val="2"/>
            <charset val="204"/>
          </rPr>
          <t xml:space="preserve">
1004 0115060710
123.003.016</t>
        </r>
      </text>
    </comment>
    <comment ref="B365" authorId="0" shapeId="0" xr:uid="{00000000-0006-0000-0000-000016000000}">
      <text>
        <r>
          <rPr>
            <b/>
            <sz val="9"/>
            <color indexed="81"/>
            <rFont val="Tahoma"/>
            <family val="2"/>
            <charset val="204"/>
          </rPr>
          <t>Автор:</t>
        </r>
        <r>
          <rPr>
            <sz val="9"/>
            <color indexed="81"/>
            <rFont val="Tahoma"/>
            <family val="2"/>
            <charset val="204"/>
          </rPr>
          <t xml:space="preserve">
011.50.10500.29
</t>
        </r>
      </text>
    </comment>
    <comment ref="B375" authorId="0" shapeId="0" xr:uid="{00000000-0006-0000-0000-000017000000}">
      <text>
        <r>
          <rPr>
            <b/>
            <sz val="12"/>
            <color indexed="81"/>
            <rFont val="Tahoma"/>
            <family val="2"/>
            <charset val="204"/>
          </rPr>
          <t>Автор:</t>
        </r>
        <r>
          <rPr>
            <sz val="12"/>
            <color indexed="81"/>
            <rFont val="Tahoma"/>
            <family val="2"/>
            <charset val="204"/>
          </rPr>
          <t xml:space="preserve">
011.50.10500.30</t>
        </r>
      </text>
    </comment>
    <comment ref="B385" authorId="0" shapeId="0" xr:uid="{00000000-0006-0000-0000-000018000000}">
      <text>
        <r>
          <rPr>
            <b/>
            <sz val="12"/>
            <color indexed="81"/>
            <rFont val="Tahoma"/>
            <family val="2"/>
            <charset val="204"/>
          </rPr>
          <t>Автор:</t>
        </r>
        <r>
          <rPr>
            <sz val="12"/>
            <color indexed="81"/>
            <rFont val="Tahoma"/>
            <family val="2"/>
            <charset val="204"/>
          </rPr>
          <t xml:space="preserve">
011.50.10500.20</t>
        </r>
      </text>
    </comment>
    <comment ref="B405" authorId="0" shapeId="0" xr:uid="{00000000-0006-0000-0000-000019000000}">
      <text>
        <r>
          <rPr>
            <b/>
            <sz val="11"/>
            <color indexed="81"/>
            <rFont val="Tahoma"/>
            <family val="2"/>
            <charset val="204"/>
          </rPr>
          <t>Автор:</t>
        </r>
        <r>
          <rPr>
            <sz val="11"/>
            <color indexed="81"/>
            <rFont val="Tahoma"/>
            <family val="2"/>
            <charset val="204"/>
          </rPr>
          <t xml:space="preserve">
123.003.013
011.52.62500.17</t>
        </r>
      </text>
    </comment>
    <comment ref="B415" authorId="0" shapeId="0" xr:uid="{00000000-0006-0000-0000-00001A000000}">
      <text>
        <r>
          <rPr>
            <b/>
            <sz val="12"/>
            <color indexed="81"/>
            <rFont val="Tahoma"/>
            <family val="2"/>
            <charset val="204"/>
          </rPr>
          <t>Автор:</t>
        </r>
        <r>
          <rPr>
            <sz val="12"/>
            <color indexed="81"/>
            <rFont val="Tahoma"/>
            <family val="2"/>
            <charset val="204"/>
          </rPr>
          <t xml:space="preserve">
011.52.09020.11</t>
        </r>
      </text>
    </comment>
    <comment ref="B425" authorId="0" shapeId="0" xr:uid="{00000000-0006-0000-0000-00001B000000}">
      <text>
        <r>
          <rPr>
            <b/>
            <sz val="11"/>
            <color indexed="81"/>
            <rFont val="Tahoma"/>
            <family val="2"/>
            <charset val="204"/>
          </rPr>
          <t>Автор:</t>
        </r>
        <r>
          <rPr>
            <sz val="11"/>
            <color indexed="81"/>
            <rFont val="Tahoma"/>
            <family val="2"/>
            <charset val="204"/>
          </rPr>
          <t xml:space="preserve">
011.Е250970.01
011.Е2.S0970.01
011.Е2.Д097001</t>
        </r>
      </text>
    </comment>
    <comment ref="B445" authorId="0" shapeId="0" xr:uid="{00000000-0006-0000-0000-00001C000000}">
      <text>
        <r>
          <rPr>
            <b/>
            <sz val="12"/>
            <color indexed="81"/>
            <rFont val="Tahoma"/>
            <family val="2"/>
            <charset val="204"/>
          </rPr>
          <t>Автор:</t>
        </r>
        <r>
          <rPr>
            <sz val="12"/>
            <color indexed="81"/>
            <rFont val="Tahoma"/>
            <family val="2"/>
            <charset val="204"/>
          </rPr>
          <t xml:space="preserve">
011.51.10500.04
011.52.10500.10
011.53.10500.25</t>
        </r>
      </text>
    </comment>
    <comment ref="B471" authorId="0" shapeId="0" xr:uid="{00000000-0006-0000-0000-00001D000000}">
      <text>
        <r>
          <rPr>
            <b/>
            <sz val="11"/>
            <color indexed="81"/>
            <rFont val="Tahoma"/>
            <family val="2"/>
            <charset val="204"/>
          </rPr>
          <t>Автор:</t>
        </r>
        <r>
          <rPr>
            <sz val="11"/>
            <color indexed="81"/>
            <rFont val="Tahoma"/>
            <family val="2"/>
            <charset val="204"/>
          </rPr>
          <t xml:space="preserve">
011.52.62370.16</t>
        </r>
      </text>
    </comment>
    <comment ref="B485" authorId="0" shapeId="0" xr:uid="{00000000-0006-0000-0000-00001E000000}">
      <text>
        <r>
          <rPr>
            <b/>
            <sz val="11"/>
            <color indexed="81"/>
            <rFont val="Tahoma"/>
            <family val="2"/>
            <charset val="204"/>
          </rPr>
          <t>Автор:</t>
        </r>
        <r>
          <rPr>
            <sz val="11"/>
            <color indexed="81"/>
            <rFont val="Tahoma"/>
            <family val="2"/>
            <charset val="204"/>
          </rPr>
          <t xml:space="preserve">
011.52.09020.09
011.51.09020.02
011.53.09020.34</t>
        </r>
      </text>
    </comment>
    <comment ref="B515" authorId="0" shapeId="0" xr:uid="{00000000-0006-0000-0000-00001F000000}">
      <text>
        <r>
          <rPr>
            <b/>
            <sz val="11"/>
            <color indexed="81"/>
            <rFont val="Tahoma"/>
            <family val="2"/>
            <charset val="204"/>
          </rPr>
          <t>Автор:</t>
        </r>
        <r>
          <rPr>
            <sz val="11"/>
            <color indexed="81"/>
            <rFont val="Tahoma"/>
            <family val="2"/>
            <charset val="204"/>
          </rPr>
          <t xml:space="preserve">
011.51.62980.02
011.52.62980.01
011.53.60980.03</t>
        </r>
      </text>
    </comment>
    <comment ref="B525" authorId="0" shapeId="0" xr:uid="{00000000-0006-0000-0000-000020000000}">
      <text>
        <r>
          <rPr>
            <b/>
            <sz val="12"/>
            <color indexed="81"/>
            <rFont val="Tahoma"/>
            <family val="2"/>
            <charset val="204"/>
          </rPr>
          <t>Автор:</t>
        </r>
        <r>
          <rPr>
            <sz val="12"/>
            <color indexed="81"/>
            <rFont val="Tahoma"/>
            <family val="2"/>
            <charset val="204"/>
          </rPr>
          <t xml:space="preserve">
011.54.10500.07
011.54.09020.08
011.54.09020.09(для сош43)</t>
        </r>
      </text>
    </comment>
    <comment ref="B535" authorId="0" shapeId="0" xr:uid="{00000000-0006-0000-0000-000021000000}">
      <text>
        <r>
          <rPr>
            <b/>
            <sz val="12"/>
            <color indexed="81"/>
            <rFont val="Tahoma"/>
            <family val="2"/>
            <charset val="204"/>
          </rPr>
          <t>Автор:</t>
        </r>
        <r>
          <rPr>
            <sz val="12"/>
            <color indexed="81"/>
            <rFont val="Tahoma"/>
            <family val="2"/>
            <charset val="204"/>
          </rPr>
          <t xml:space="preserve">
011.50.10500.32</t>
        </r>
      </text>
    </comment>
    <comment ref="B585" authorId="0" shapeId="0" xr:uid="{00000000-0006-0000-0000-000022000000}">
      <text>
        <r>
          <rPr>
            <b/>
            <sz val="12"/>
            <color indexed="81"/>
            <rFont val="Tahoma"/>
            <family val="2"/>
            <charset val="204"/>
          </rPr>
          <t>Автор:</t>
        </r>
        <r>
          <rPr>
            <sz val="12"/>
            <color indexed="81"/>
            <rFont val="Tahoma"/>
            <family val="2"/>
            <charset val="204"/>
          </rPr>
          <t xml:space="preserve">
11.51.S3410.01
124.002.023</t>
        </r>
      </text>
    </comment>
    <comment ref="B591" authorId="0" shapeId="0" xr:uid="{00000000-0006-0000-0000-000023000000}">
      <text>
        <r>
          <rPr>
            <b/>
            <sz val="11"/>
            <color indexed="81"/>
            <rFont val="Tahoma"/>
            <family val="2"/>
            <charset val="204"/>
          </rPr>
          <t>Автор:</t>
        </r>
        <r>
          <rPr>
            <sz val="11"/>
            <color indexed="81"/>
            <rFont val="Tahoma"/>
            <family val="2"/>
            <charset val="204"/>
          </rPr>
          <t xml:space="preserve">
011.52.S0100.01</t>
        </r>
      </text>
    </comment>
    <comment ref="B665" authorId="0" shapeId="0" xr:uid="{00000000-0006-0000-0000-000024000000}">
      <text>
        <r>
          <rPr>
            <b/>
            <sz val="12"/>
            <color indexed="81"/>
            <rFont val="Tahoma"/>
            <family val="2"/>
            <charset val="204"/>
          </rPr>
          <t>Автор:</t>
        </r>
        <r>
          <rPr>
            <sz val="12"/>
            <color indexed="81"/>
            <rFont val="Tahoma"/>
            <family val="2"/>
            <charset val="204"/>
          </rPr>
          <t xml:space="preserve">
011.52L3040.01</t>
        </r>
      </text>
    </comment>
    <comment ref="B675" authorId="0" shapeId="0" xr:uid="{00000000-0006-0000-0000-000025000000}">
      <text>
        <r>
          <rPr>
            <b/>
            <sz val="11"/>
            <color indexed="81"/>
            <rFont val="Tahoma"/>
            <family val="2"/>
            <charset val="204"/>
          </rPr>
          <t>Автор:</t>
        </r>
        <r>
          <rPr>
            <sz val="11"/>
            <color indexed="81"/>
            <rFont val="Tahoma"/>
            <family val="2"/>
            <charset val="204"/>
          </rPr>
          <t xml:space="preserve">
204.431.000
011.52.R3032.01</t>
        </r>
      </text>
    </comment>
    <comment ref="B695" authorId="0" shapeId="0" xr:uid="{00000000-0006-0000-0000-000026000000}">
      <text>
        <r>
          <rPr>
            <b/>
            <sz val="10"/>
            <color indexed="81"/>
            <rFont val="Tahoma"/>
            <family val="2"/>
            <charset val="204"/>
          </rPr>
          <t>Автор:</t>
        </r>
        <r>
          <rPr>
            <sz val="10"/>
            <color indexed="81"/>
            <rFont val="Tahoma"/>
            <family val="2"/>
            <charset val="204"/>
          </rPr>
          <t xml:space="preserve">
011.51.10500.39
011.52.10500.44</t>
        </r>
      </text>
    </comment>
    <comment ref="B705" authorId="0" shapeId="0" xr:uid="{00000000-0006-0000-0000-000027000000}">
      <text>
        <r>
          <rPr>
            <b/>
            <sz val="11"/>
            <color indexed="81"/>
            <rFont val="Tahoma"/>
            <family val="2"/>
            <charset val="204"/>
          </rPr>
          <t>Автор:</t>
        </r>
        <r>
          <rPr>
            <sz val="11"/>
            <color indexed="81"/>
            <rFont val="Tahoma"/>
            <family val="2"/>
            <charset val="204"/>
          </rPr>
          <t xml:space="preserve">
011.51.10500.45</t>
        </r>
        <r>
          <rPr>
            <sz val="9"/>
            <color indexed="81"/>
            <rFont val="Tahoma"/>
            <family val="2"/>
            <charset val="204"/>
          </rPr>
          <t xml:space="preserve">
</t>
        </r>
      </text>
    </comment>
    <comment ref="B721" authorId="0" shapeId="0" xr:uid="{00000000-0006-0000-0000-000028000000}">
      <text>
        <r>
          <rPr>
            <b/>
            <sz val="11"/>
            <color indexed="81"/>
            <rFont val="Tahoma"/>
            <family val="2"/>
            <charset val="204"/>
          </rPr>
          <t>Автор:</t>
        </r>
        <r>
          <rPr>
            <sz val="11"/>
            <color indexed="81"/>
            <rFont val="Tahoma"/>
            <family val="2"/>
            <charset val="204"/>
          </rPr>
          <t xml:space="preserve">
011.52.10500.38</t>
        </r>
      </text>
    </comment>
    <comment ref="B725" authorId="0" shapeId="0" xr:uid="{00000000-0006-0000-0000-000029000000}">
      <text>
        <r>
          <rPr>
            <b/>
            <sz val="11"/>
            <color indexed="81"/>
            <rFont val="Tahoma"/>
            <family val="2"/>
            <charset val="204"/>
          </rPr>
          <t>Автор:</t>
        </r>
        <r>
          <rPr>
            <sz val="11"/>
            <color indexed="81"/>
            <rFont val="Tahoma"/>
            <family val="2"/>
            <charset val="204"/>
          </rPr>
          <t xml:space="preserve">
011.52.10500.43</t>
        </r>
      </text>
    </comment>
    <comment ref="B735" authorId="0" shapeId="0" xr:uid="{00000000-0006-0000-0000-00002A000000}">
      <text>
        <r>
          <rPr>
            <b/>
            <sz val="11"/>
            <color indexed="81"/>
            <rFont val="Tahoma"/>
            <family val="2"/>
            <charset val="204"/>
          </rPr>
          <t>Автор:</t>
        </r>
        <r>
          <rPr>
            <sz val="11"/>
            <color indexed="81"/>
            <rFont val="Tahoma"/>
            <family val="2"/>
            <charset val="204"/>
          </rPr>
          <t xml:space="preserve">
011.52.63540.01</t>
        </r>
      </text>
    </comment>
    <comment ref="B751" authorId="0" shapeId="0" xr:uid="{00000000-0006-0000-0000-00002B000000}">
      <text>
        <r>
          <rPr>
            <b/>
            <sz val="11"/>
            <color indexed="81"/>
            <rFont val="Tahoma"/>
            <family val="2"/>
            <charset val="204"/>
          </rPr>
          <t>Автор:</t>
        </r>
        <r>
          <rPr>
            <sz val="11"/>
            <color indexed="81"/>
            <rFont val="Tahoma"/>
            <family val="2"/>
            <charset val="204"/>
          </rPr>
          <t xml:space="preserve">
011.52.S3550.01</t>
        </r>
      </text>
    </comment>
    <comment ref="B755" authorId="0" shapeId="0" xr:uid="{00000000-0006-0000-0000-00002C000000}">
      <text>
        <r>
          <rPr>
            <b/>
            <sz val="11"/>
            <color indexed="81"/>
            <rFont val="Tahoma"/>
            <family val="2"/>
            <charset val="204"/>
          </rPr>
          <t>Автор:</t>
        </r>
        <r>
          <rPr>
            <sz val="11"/>
            <color indexed="81"/>
            <rFont val="Tahoma"/>
            <family val="2"/>
            <charset val="204"/>
          </rPr>
          <t xml:space="preserve">
011.EB.51790.01</t>
        </r>
      </text>
    </comment>
    <comment ref="B765" authorId="0" shapeId="0" xr:uid="{00000000-0006-0000-0000-00002D000000}">
      <text>
        <r>
          <rPr>
            <b/>
            <sz val="11"/>
            <color indexed="81"/>
            <rFont val="Tahoma"/>
            <family val="2"/>
            <charset val="204"/>
          </rPr>
          <t>Автор:</t>
        </r>
        <r>
          <rPr>
            <sz val="11"/>
            <color indexed="81"/>
            <rFont val="Tahoma"/>
            <family val="2"/>
            <charset val="204"/>
          </rPr>
          <t xml:space="preserve">
011.52.L7500.01</t>
        </r>
      </text>
    </comment>
    <comment ref="B775" authorId="0" shapeId="0" xr:uid="{00000000-0006-0000-0000-00002E000000}">
      <text>
        <r>
          <rPr>
            <b/>
            <sz val="11"/>
            <color indexed="81"/>
            <rFont val="Tahoma"/>
            <family val="2"/>
            <charset val="204"/>
          </rPr>
          <t>Автор:</t>
        </r>
        <r>
          <rPr>
            <sz val="11"/>
            <color indexed="81"/>
            <rFont val="Tahoma"/>
            <family val="2"/>
            <charset val="204"/>
          </rPr>
          <t xml:space="preserve">
011.ЕВ57860.01</t>
        </r>
      </text>
    </comment>
    <comment ref="B785" authorId="0" shapeId="0" xr:uid="{00000000-0006-0000-0000-00002F000000}">
      <text>
        <r>
          <rPr>
            <b/>
            <sz val="11"/>
            <color indexed="81"/>
            <rFont val="Tahoma"/>
            <family val="2"/>
            <charset val="204"/>
          </rPr>
          <t>Автор:</t>
        </r>
        <r>
          <rPr>
            <sz val="11"/>
            <color indexed="81"/>
            <rFont val="Tahoma"/>
            <family val="2"/>
            <charset val="204"/>
          </rPr>
          <t xml:space="preserve">
011.52.10500.45</t>
        </r>
      </text>
    </comment>
    <comment ref="B795" authorId="0" shapeId="0" xr:uid="{00000000-0006-0000-0000-000030000000}">
      <text>
        <r>
          <rPr>
            <b/>
            <sz val="11"/>
            <color indexed="81"/>
            <rFont val="Tahoma"/>
            <family val="2"/>
            <charset val="204"/>
          </rPr>
          <t>Автор:</t>
        </r>
        <r>
          <rPr>
            <sz val="11"/>
            <color indexed="81"/>
            <rFont val="Tahoma"/>
            <family val="2"/>
            <charset val="204"/>
          </rPr>
          <t xml:space="preserve">
011.52.10500.46</t>
        </r>
      </text>
    </comment>
    <comment ref="B805" authorId="0" shapeId="0" xr:uid="{00000000-0006-0000-0000-000031000000}">
      <text>
        <r>
          <rPr>
            <b/>
            <sz val="11"/>
            <color indexed="81"/>
            <rFont val="Tahoma"/>
            <family val="2"/>
            <charset val="204"/>
          </rPr>
          <t>Автор:</t>
        </r>
        <r>
          <rPr>
            <sz val="11"/>
            <color indexed="81"/>
            <rFont val="Tahoma"/>
            <family val="2"/>
            <charset val="204"/>
          </rPr>
          <t xml:space="preserve">
ЦСР 011Е164800</t>
        </r>
      </text>
    </comment>
    <comment ref="B815" authorId="0" shapeId="0" xr:uid="{00000000-0006-0000-0000-000032000000}">
      <text>
        <r>
          <rPr>
            <b/>
            <sz val="12"/>
            <color indexed="81"/>
            <rFont val="Tahoma"/>
            <family val="2"/>
            <charset val="204"/>
          </rPr>
          <t>Автор:</t>
        </r>
        <r>
          <rPr>
            <sz val="12"/>
            <color indexed="81"/>
            <rFont val="Tahoma"/>
            <family val="2"/>
            <charset val="204"/>
          </rPr>
          <t xml:space="preserve">
ЦСР 011Е164800
011.52.10500.47</t>
        </r>
      </text>
    </comment>
    <comment ref="B825" authorId="0" shapeId="0" xr:uid="{00000000-0006-0000-0000-000033000000}">
      <text>
        <r>
          <rPr>
            <b/>
            <sz val="12"/>
            <color indexed="81"/>
            <rFont val="Tahoma"/>
            <family val="2"/>
            <charset val="204"/>
          </rPr>
          <t>Автор:</t>
        </r>
        <r>
          <rPr>
            <sz val="12"/>
            <color indexed="81"/>
            <rFont val="Tahoma"/>
            <family val="2"/>
            <charset val="204"/>
          </rPr>
          <t xml:space="preserve">
ЦСР 011Е164800
011.52.10500.48</t>
        </r>
      </text>
    </comment>
    <comment ref="B835" authorId="0" shapeId="0" xr:uid="{00000000-0006-0000-0000-000034000000}">
      <text>
        <r>
          <rPr>
            <b/>
            <sz val="11"/>
            <color indexed="81"/>
            <rFont val="Tahoma"/>
            <family val="2"/>
            <charset val="204"/>
          </rPr>
          <t>Автор:</t>
        </r>
        <r>
          <rPr>
            <sz val="11"/>
            <color indexed="81"/>
            <rFont val="Tahoma"/>
            <family val="2"/>
            <charset val="204"/>
          </rPr>
          <t xml:space="preserve">
ЦСР 0115020230</t>
        </r>
      </text>
    </comment>
    <comment ref="B845" authorId="0" shapeId="0" xr:uid="{00000000-0006-0000-0000-000035000000}">
      <text>
        <r>
          <rPr>
            <b/>
            <sz val="11"/>
            <color indexed="81"/>
            <rFont val="Tahoma"/>
            <family val="2"/>
            <charset val="204"/>
          </rPr>
          <t>Автор:</t>
        </r>
        <r>
          <rPr>
            <sz val="11"/>
            <color indexed="81"/>
            <rFont val="Tahoma"/>
            <family val="2"/>
            <charset val="204"/>
          </rPr>
          <t xml:space="preserve">
011.51.10500.47
011.52.10500.41</t>
        </r>
      </text>
    </comment>
    <comment ref="B855" authorId="0" shapeId="0" xr:uid="{00000000-0006-0000-0000-000036000000}">
      <text>
        <r>
          <rPr>
            <b/>
            <sz val="12"/>
            <color indexed="81"/>
            <rFont val="Tahoma"/>
            <family val="2"/>
            <charset val="204"/>
          </rPr>
          <t>Автор:</t>
        </r>
        <r>
          <rPr>
            <sz val="12"/>
            <color indexed="81"/>
            <rFont val="Tahoma"/>
            <family val="2"/>
            <charset val="204"/>
          </rPr>
          <t xml:space="preserve">
011.52.S3550.01</t>
        </r>
      </text>
    </comment>
    <comment ref="B865" authorId="0" shapeId="0" xr:uid="{00000000-0006-0000-0000-000037000000}">
      <text>
        <r>
          <rPr>
            <b/>
            <sz val="11"/>
            <color indexed="81"/>
            <rFont val="Tahoma"/>
            <family val="2"/>
            <charset val="204"/>
          </rPr>
          <t>Автор:</t>
        </r>
        <r>
          <rPr>
            <sz val="11"/>
            <color indexed="81"/>
            <rFont val="Tahoma"/>
            <family val="2"/>
            <charset val="204"/>
          </rPr>
          <t xml:space="preserve">
011.EB.51790.01</t>
        </r>
      </text>
    </comment>
    <comment ref="B875" authorId="0" shapeId="0" xr:uid="{00000000-0006-0000-0000-000038000000}">
      <text>
        <r>
          <rPr>
            <b/>
            <sz val="12"/>
            <color indexed="81"/>
            <rFont val="Tahoma"/>
            <family val="2"/>
            <charset val="204"/>
          </rPr>
          <t>Автор:</t>
        </r>
        <r>
          <rPr>
            <sz val="12"/>
            <color indexed="81"/>
            <rFont val="Tahoma"/>
            <family val="2"/>
            <charset val="204"/>
          </rPr>
          <t xml:space="preserve">
011.EB57860.01</t>
        </r>
      </text>
    </comment>
    <comment ref="B885" authorId="0" shapeId="0" xr:uid="{00000000-0006-0000-0000-000039000000}">
      <text>
        <r>
          <rPr>
            <b/>
            <sz val="11"/>
            <color indexed="81"/>
            <rFont val="Tahoma"/>
            <family val="2"/>
            <charset val="204"/>
          </rPr>
          <t>Автор:</t>
        </r>
        <r>
          <rPr>
            <sz val="11"/>
            <color indexed="81"/>
            <rFont val="Tahoma"/>
            <family val="2"/>
            <charset val="204"/>
          </rPr>
          <t xml:space="preserve">
011.51.S3410.01</t>
        </r>
      </text>
    </comment>
    <comment ref="B895" authorId="0" shapeId="0" xr:uid="{00000000-0006-0000-0000-00003A000000}">
      <text>
        <r>
          <rPr>
            <b/>
            <sz val="9"/>
            <color indexed="81"/>
            <rFont val="Tahoma"/>
            <family val="2"/>
            <charset val="204"/>
          </rPr>
          <t>Автор:
011.50.20290.00</t>
        </r>
      </text>
    </comment>
    <comment ref="B915" authorId="0" shapeId="0" xr:uid="{00000000-0006-0000-0000-00003B000000}">
      <text>
        <r>
          <rPr>
            <b/>
            <sz val="13"/>
            <color indexed="81"/>
            <rFont val="Tahoma"/>
            <family val="2"/>
            <charset val="204"/>
          </rPr>
          <t>Автор:
011.50.50500.01</t>
        </r>
      </text>
    </comment>
    <comment ref="B928" authorId="0" shapeId="0" xr:uid="{00000000-0006-0000-0000-00003C000000}">
      <text>
        <r>
          <rPr>
            <b/>
            <sz val="12"/>
            <color indexed="81"/>
            <rFont val="Tahoma"/>
            <family val="2"/>
            <charset val="204"/>
          </rPr>
          <t>Автор:</t>
        </r>
        <r>
          <rPr>
            <sz val="12"/>
            <color indexed="81"/>
            <rFont val="Tahoma"/>
            <family val="2"/>
            <charset val="204"/>
          </rPr>
          <t xml:space="preserve">
ЦБ 925.01.009
ИМЦ 925.01.125
ПМПК 925.01.159</t>
        </r>
      </text>
    </comment>
    <comment ref="B938" authorId="0" shapeId="0" xr:uid="{00000000-0006-0000-0000-00003D000000}">
      <text>
        <r>
          <rPr>
            <b/>
            <sz val="11"/>
            <color indexed="81"/>
            <rFont val="Tahoma"/>
            <family val="2"/>
            <charset val="204"/>
          </rPr>
          <t>Автор:</t>
        </r>
        <r>
          <rPr>
            <sz val="11"/>
            <color indexed="81"/>
            <rFont val="Tahoma"/>
            <family val="2"/>
            <charset val="204"/>
          </rPr>
          <t xml:space="preserve">
УО
ЦСР КБ 0110660860
МБ 0110600190</t>
        </r>
      </text>
    </comment>
  </commentList>
</comments>
</file>

<file path=xl/sharedStrings.xml><?xml version="1.0" encoding="utf-8"?>
<sst xmlns="http://schemas.openxmlformats.org/spreadsheetml/2006/main" count="470" uniqueCount="362">
  <si>
    <t>Наименование мероприятия</t>
  </si>
  <si>
    <t>Непосредственный результат реализации мероприятий</t>
  </si>
  <si>
    <t>1.</t>
  </si>
  <si>
    <t>1. Создание условий для обеспечения инновационного характера образования</t>
  </si>
  <si>
    <t>Местный бюджет</t>
  </si>
  <si>
    <t>Приобретение автобусов и микроавтобусов для муниципальных образовательных организаций</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</si>
  <si>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</si>
  <si>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Приобретение автобусов и микроавтобусов для обеспечения подвоза учащихся</t>
  </si>
  <si>
    <t>ИТОГО</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</si>
  <si>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</si>
  <si>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1.1</t>
  </si>
  <si>
    <t>1.2</t>
  </si>
  <si>
    <t>2.</t>
  </si>
  <si>
    <t>Приложение №2</t>
  </si>
  <si>
    <t>к муниципальной программе</t>
  </si>
  <si>
    <t>Внебюджетные средства</t>
  </si>
  <si>
    <t>5.2</t>
  </si>
  <si>
    <t>Обеспечение выполнения функций управления в области образования</t>
  </si>
  <si>
    <t>Финансовое обеспечение выполнения функций управления в области образования</t>
  </si>
  <si>
    <t>Администрация муниципального образования Северский район, управление образования</t>
  </si>
  <si>
    <t>** Подпункт 1.3.3 пункта 1.3. государственной программы Краснодарского края «Развитие образования». Приобретение движимого имущества для оснащения вновь созданных мест в муниципальных общеобразовательных организациях»</t>
  </si>
  <si>
    <t>* Пункт 1.1.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созданию условий для содержания детей дошкольного возраста в муниципальных образовательных организациях.</t>
  </si>
  <si>
    <t xml:space="preserve">     Пункт 1.3.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(за исключением мероприятий, предусмотренных пунктом 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</si>
  <si>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обеспечения подвоза учащихся)</t>
  </si>
  <si>
    <t>2.Модернизация образования как института воспитания и социального развития</t>
  </si>
  <si>
    <t>2.1</t>
  </si>
  <si>
    <t>2.2</t>
  </si>
  <si>
    <t>Организация мероприятий, направленных на повышение престижа отрасли</t>
  </si>
  <si>
    <t xml:space="preserve">Предоставление субсидий на мероприятия по патриотическому воспитанию граждан </t>
  </si>
  <si>
    <t>Обеспечение проведения учебных сборов учащихся (юношей) 10-х классов</t>
  </si>
  <si>
    <t>Повышение престижа</t>
  </si>
  <si>
    <t>Администрация муниципального образования Северский район, управление образования, образовательные организации</t>
  </si>
  <si>
    <t>3.</t>
  </si>
  <si>
    <t>Создание условий для повышения профессионализма и эстетического воспитания управленческих, педагогических кадров, тьюторов по ЕГЭ, экспертов предметных комиссий по ОГЭ и ЕГЭ, работников системы образования района, сопровождающие (проведение, участие в конкурсах, семинарах, выставках, совещаниях, форумах, профессиональных праздниках и других мероприятиях)</t>
  </si>
  <si>
    <t>3.1</t>
  </si>
  <si>
    <t>Проведение, участие в конкурсах, семинарах, выставках, совещаниях, форумах, профессиональных праздниках и др.</t>
  </si>
  <si>
    <t>4.</t>
  </si>
  <si>
    <t>4. Финансовое обеспечение деятельности образовательных организаций</t>
  </si>
  <si>
    <t>4.1</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</si>
  <si>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</si>
  <si>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в том числе:
расходы на обеспечение деятельности муниципальных учреждений (муниципальное задание);</t>
  </si>
  <si>
    <t>реализация мероприятий в области образования (обеспечение льготным питанием)</t>
  </si>
  <si>
    <t xml:space="preserve"> ввод в эксплуатацию объектов</t>
  </si>
  <si>
    <t>прочие расходы:
- родительская плата за присмотр и уход за детьми в муниципальных дошкольных организациях, подведомственных управлению образования администрации муниципального образования Северский район</t>
  </si>
  <si>
    <t>Обеспечение государственных гарантий реализации прав на получение общедоступного и бесплатного дошкольного образования, а так же осуществление присмотра и ухода и др.</t>
  </si>
  <si>
    <t>4.2</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</si>
  <si>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образовательных организациях
</t>
  </si>
  <si>
    <t>в том числе:
расходы на обеспечение деятельности муниципальных учреждений, (муниципальное задание);</t>
  </si>
  <si>
    <t xml:space="preserve">реализация мероприятий в области образования  в том числе:
-организация питания обучающихся общеобразовательных организаций муниципального образования Северский район
</t>
  </si>
  <si>
    <t xml:space="preserve"> обеспечение льготным питанием в дошкольных группах</t>
  </si>
  <si>
    <t xml:space="preserve">ввод в эксплуатацию объектов
</t>
  </si>
  <si>
    <t>прочие расходы:
- родительская плата за питание обучающихся в муниципальных общеобразовательных организациях</t>
  </si>
  <si>
    <t>4.3</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</si>
  <si>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дополнительного образования детей, в том числе:
</t>
  </si>
  <si>
    <t>1) расходы на обеспечение деятельности муниципальных учреждений, (муниципальное задание);</t>
  </si>
  <si>
    <t>в том числе:
- обеспечение  функционирования системы персонифицированного финансирования дополнительного образования детей</t>
  </si>
  <si>
    <t>4.4</t>
  </si>
  <si>
    <t>Предоставление субсидий образовательным организациям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</si>
  <si>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дошкольного образования детей в частных дошкольных образовательных организациях</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</si>
  <si>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t>
  </si>
  <si>
    <t>В соответствии с нормативно-правовыми актами</t>
  </si>
  <si>
    <t>4.5</t>
  </si>
  <si>
    <t>Предоставление субсидий на финансовое обеспечение получения дошкольного образования в частных дошкольных образовательных организациях, включающим расходы на предоставление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</si>
  <si>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4.6</t>
  </si>
  <si>
    <t>Предоставление субсидий образовательным организациям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</si>
  <si>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Предоставление мер социальной поддержки в виде компенсации расходов на оплату жилых помещений, отопления и освещения педагогическим работникам</t>
  </si>
  <si>
    <t>4.7</t>
  </si>
  <si>
    <t xml:space="preserve">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</si>
  <si>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</si>
  <si>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4.8</t>
  </si>
  <si>
    <t>Предоставление субсидий образовательным организациям на подготовительные работы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</si>
  <si>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 xml:space="preserve">Проведение мероприятий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
</t>
  </si>
  <si>
    <t xml:space="preserve">Администрация муниципального образования Северский район, управление образования, образовательные организации
</t>
  </si>
  <si>
    <t>4.9</t>
  </si>
  <si>
    <t>Предоставление субсидий образовательным организациям на обеспечение безопасности образовательных учреждений</t>
  </si>
  <si>
    <t>Обеспечение безопасности образовательных учреждений</t>
  </si>
  <si>
    <t>4.10</t>
  </si>
  <si>
    <t>Предоставление субсидий образовательным организациям на обеспечение пожарной безопасности образовательных учреждений</t>
  </si>
  <si>
    <t xml:space="preserve">Обеспечение пожарной безопасности образовательных учреждений, в том числе: оплата кредиторской задолженности
</t>
  </si>
  <si>
    <t>4.11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</si>
  <si>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физической культурой и спортом (капитальный ремонт спортивных залов муниципальных общеобразовательных организаций, расположенных в сельской местности)</t>
  </si>
  <si>
    <t>Проведение капитальных ремонтов спортивных залов муниципальных общеобразовательных организаций, расположенных в сельской местности</t>
  </si>
  <si>
    <t>4.12</t>
  </si>
  <si>
    <t xml:space="preserve">Предоставление субсидий образовательным организациям на 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
</t>
  </si>
  <si>
    <t>Материально –техническое обеспечение пунктов проведения экзаменов для государственной итоговой аттестации, выплаты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</si>
  <si>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</si>
  <si>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</si>
  <si>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4.13</t>
  </si>
  <si>
    <t xml:space="preserve">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</si>
  <si>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4.14</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</si>
  <si>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«Успех каждого ребенка»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</si>
  <si>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</si>
  <si>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4.15</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</si>
  <si>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и обследование тахографов, обслуживание ГЛОНАСС)</t>
  </si>
  <si>
    <t>Оплата расходов по регистрации автотранспорта, приобретение запасных частей и комплектующих к автотранспорту, установка и обследование тахографов, обслуживание ГЛОНАСС</t>
  </si>
  <si>
    <t>4.16</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</si>
  <si>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t>
  </si>
  <si>
    <t>4.17</t>
  </si>
  <si>
    <t>Предоставление субсидий образовательным организациям на приобретение, установка и обслуживание дополнительного оборудования для перевозки детей для автобусов и микроавтобусов</t>
  </si>
  <si>
    <t xml:space="preserve">Оплата расходов по приобретению, установке и обслуживанию дополнительного оборудования для перевозки детей для автобусов и микроавтобусов </t>
  </si>
  <si>
    <t>4.18</t>
  </si>
  <si>
    <t xml:space="preserve">Предоставление субсидий образовательным организациям на обеспечение льготным питанием учащихся из многодетных семей в муниципальных общеобразовательных организациях </t>
  </si>
  <si>
    <t xml:space="preserve">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 </t>
  </si>
  <si>
    <t>Предоставление субсидий образовательным организациям на капитальный ремонт спортивных площадок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проведение обследования зданий и сооружений на объекте) и др.</t>
  </si>
  <si>
    <t>Подготовка спортивных площадок к новому учебному году</t>
  </si>
  <si>
    <t>Предоставление субсидий образовательным организациям на капитальный ремонт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и др.</t>
  </si>
  <si>
    <t>4.20</t>
  </si>
  <si>
    <t xml:space="preserve">Осуществление капитального и текущего ремонта,обеспечение благоустройства муниципальных организаций
</t>
  </si>
  <si>
    <t>4.21</t>
  </si>
  <si>
    <t>Предоставление субсидий образовательным организациям на 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</si>
  <si>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Обеспечение благоустройства муниципальных организаций</t>
  </si>
  <si>
    <t>Предоставление субсидий образовательным организациям на оснащение спортивных площадок на территории образовательных организаций</t>
  </si>
  <si>
    <t>4.23</t>
  </si>
  <si>
    <t xml:space="preserve">Предоставление субсидий образовательным организациям на дополнительную помощь местным бюджетам для решения социально значимых вопросов </t>
  </si>
  <si>
    <t>Финансовое обеспечение деятельности муниципальных организаций</t>
  </si>
  <si>
    <t>Администрация муниципального образования Северский район, управление, образовательные организации</t>
  </si>
  <si>
    <t>4.24</t>
  </si>
  <si>
    <t>Предоставление субсидий образовательным организациям на исполнение судебных решений и предписаний надзорных органов, органов принудительного исполнения судебных решений (актов) и др.</t>
  </si>
  <si>
    <t xml:space="preserve">Исполнение судебных решений и предписаний надзорных органов и др., в том числе: оплата кредиторской задолженности
</t>
  </si>
  <si>
    <t>Предоставление субсидий образовательным организациям на оснащение медицинских кабинетов</t>
  </si>
  <si>
    <t>4.25</t>
  </si>
  <si>
    <t xml:space="preserve">Соответствие медицинских кабинетов действующему законодательству, в том числе: кредиторскую задолженность
</t>
  </si>
  <si>
    <t>Предоставление субсидий образовательным организациям на обеспечение защиты информации и информационных систем</t>
  </si>
  <si>
    <t xml:space="preserve">Обеспечение безопасности образовательных учреждений
</t>
  </si>
  <si>
    <t>4.27</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</si>
  <si>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t>
  </si>
  <si>
    <t>Улучшение условий для содержания учащихся и воспитанников общеобразовательных организаций</t>
  </si>
  <si>
    <t>Администрация муниципального образования Северский район, управление, Министерство образования, науки и молодежной политики Краснодарского края, образовательные организации</t>
  </si>
  <si>
    <t>4.28</t>
  </si>
  <si>
    <t>Предоставление субсидий образовательным организациям на организацию предоставления дополнительного образования детям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Краснодарского края (проведение медицинских осмотров лиц, занимающихся физической культурой и спортом, по углубленной программе медицинского обследования)</t>
  </si>
  <si>
    <t>Проведение медицинских осмотров лиц, занимающихся физической культурой и спортом, по углубленной программе медицинского обследования</t>
  </si>
  <si>
    <t>4.29</t>
  </si>
  <si>
    <t>Капитальный ремонт зданий и сооружений и благоустройство территорий, прилегающих к зданиям и сооружениям муниципальных образовательных организаций</t>
  </si>
  <si>
    <t>4.30</t>
  </si>
  <si>
    <t>4.31</t>
  </si>
  <si>
    <t xml:space="preserve">Обновление
материально-технической базы для формирования у обучающихся современных технологических и гуманитарных навыков
</t>
  </si>
  <si>
    <t>4.32</t>
  </si>
  <si>
    <t xml:space="preserve">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t>
  </si>
  <si>
    <t>4.33</t>
  </si>
  <si>
    <t xml:space="preserve">Предоставление субсидий образовательным организациям на мероприятия, направленные на лицензирование деятельности по перевозкам пассажиров и иных лиц автобусами (в т.ч. на оплату государственной пошлины, обучение по аттестации ответственного за обеспечение безопасности дорожного движения и др.)
</t>
  </si>
  <si>
    <t>Оплата государственной пошлины, обучение по аттестации ответственного за обеспечение безопасности дорожного движения и др.</t>
  </si>
  <si>
    <t>4.34</t>
  </si>
  <si>
    <t xml:space="preserve">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t>
  </si>
  <si>
    <t>4.35</t>
  </si>
  <si>
    <t xml:space="preserve">1) Предоставление субсидий образовательным организациям на подготовку к осенне-зимнему периоду
</t>
  </si>
  <si>
    <t xml:space="preserve">2) Подготовка к осенне-зимнему периоду
</t>
  </si>
  <si>
    <t>Обеспечение готовности организаций к осенне-зимнему периоду</t>
  </si>
  <si>
    <t>Администрация муниципального образования Северский район, структурные подразделения администрации</t>
  </si>
  <si>
    <t>Предоставление субсидий образовательным организациям на проведение медицинских осмотров лиц, занимающихся физической культурой и спортом, по углубленной программе медицинского обследования</t>
  </si>
  <si>
    <t xml:space="preserve">Проведение медицинских осмотров лиц, занимающихся физической культурой и спортом, по углубленной программе медицинского обследования
</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</si>
  <si>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</si>
  <si>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4.37</t>
  </si>
  <si>
    <t>Предоставление субсидий образовательным организациям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</si>
  <si>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4.38</t>
  </si>
  <si>
    <t>Предоставление субсидий образовательным организациям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</si>
  <si>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</si>
  <si>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4.39</t>
  </si>
  <si>
    <t xml:space="preserve">Предоставление субсидий образовательным организациям на финансовое обеспечение непредвиденных расходов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созданию условий для осуществления присмотра и ухода за детьми,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 </t>
  </si>
  <si>
    <t>Оснащение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t>
  </si>
  <si>
    <t>4.40</t>
  </si>
  <si>
    <t>Выплаты заработной платы и начислений выплат по оплате труда в образовательных организациях во время проведения капитальных ремонтов и других мероприятий (за исключение текущих ремонтов), а так же возмещение данных понесенных расходов</t>
  </si>
  <si>
    <t>4.41</t>
  </si>
  <si>
    <t>Предоставление субсидий образовательным организациям на приобретение теневых навесов, в том числе их установку</t>
  </si>
  <si>
    <t>Приобретение теневых навесов, в том числе их установка</t>
  </si>
  <si>
    <t>4.42</t>
  </si>
  <si>
    <t>4.43</t>
  </si>
  <si>
    <t xml:space="preserve">Предоставление субсидий образовательным организациям на выплату ежемесячной компенсационной денежной выплаты на питание детей- инвалидов, получающих образование на дому </t>
  </si>
  <si>
    <t>Предоставление субсидий образовательным организациям по организации и обеспечению бесплатным горячим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</si>
  <si>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5. Финансовое обеспечение деятельности муниципальных казенных учреждений и органов управления</t>
  </si>
  <si>
    <t>5.1</t>
  </si>
  <si>
    <t>Расходы на обеспечение деятельности (оказание услуг) муниципальных учреждений</t>
  </si>
  <si>
    <t>Финансовое обеспечение деятельности муниципальных учреждений</t>
  </si>
  <si>
    <t>Администрация муниципального образования Северский район, управление образования, казенные учреждения</t>
  </si>
  <si>
    <t>приобретение ГСМ для осуществления поездок, не включенных в расчет нормативных затрат на оказание муниципальных услуг(выполнение работ)</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</si>
  <si>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рамках реализации мероприятий регионального проекта Краснодарского края «Современная школа» (обновление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за исключением мероприятия, предусмотренного подпунктом 1.3.3 пункта 1.3)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</si>
  <si>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расположенных в сельской местности и малых городах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</si>
  <si>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и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 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</si>
  <si>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(обновление материально-технической базы для формирования у обучающихся современных технологических и гуманитарных навыков, за исключением мероприятия, предусмотренного подпунктом 1.3.3 пункта 1.3)**, в том числе, разработка проектно-сметной документации, экспертиза достоверности определения сметной стоимости и др.</t>
  </si>
  <si>
    <t>Год реализации</t>
  </si>
  <si>
    <t>Оплату услуг по доставке пищи и пишеприготовлению, в том числе: оплата кредиторской задолженности</t>
  </si>
  <si>
    <t>Л.В. Мазько</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</si>
  <si>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организация питания и др., в том числе: оплата кредиторской задолженности
</t>
  </si>
  <si>
    <t>Обеспечение государственных гарантий реализации прав на получение дополнительного образования детей</t>
  </si>
  <si>
    <t xml:space="preserve">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  в том числе: оплата кредиторской задолженности
</t>
  </si>
  <si>
    <t xml:space="preserve">Организация бесплатного горячего питания обучающихся 1-4 классах,       в том числе: оплата кредиторской задолженности
</t>
  </si>
  <si>
    <t>Выплата ежемесячной компенсационной денежной выплаты на питание обучающихся детей- инвалидов, получающих образование на дому</t>
  </si>
  <si>
    <t>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</si>
  <si>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</si>
  <si>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Источник финансирования, тыс.руб.</t>
  </si>
  <si>
    <t>Предоставление субсидий образовательным организациям на оплату услуг по доставке пищи и пищеприготовлению обучающихся по образовательной программе начального общего образования и детей-инвалидов (инвалидов) не являющихся обучающимися с ограниченными возможностями здоровья, детей из семей призванных на военную службу, в муниципальных образовательных организациях</t>
  </si>
  <si>
    <t>на иные цели:                                                                                        - осуществление иных выплат (доплат)</t>
  </si>
  <si>
    <t xml:space="preserve">
-подвоз учащихся, в т.ч. ГСМ;</t>
  </si>
  <si>
    <t xml:space="preserve">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</si>
  <si>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на иные цели:
-осуществление иных выплат (доплат)</t>
  </si>
  <si>
    <t>2) на иные цели: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</si>
  <si>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Предоставление субсидий образовательным организациям на выплату заработной платы и начислений выплаты по оплате труда в образовательных организациях во время проведения капитальных ремонтов, во время реорганизации (ликвидации) и других мероприятий (за исключение текущих ремонтов), возмещение данных понесенных расходов, прочие расходы</t>
  </si>
  <si>
    <t>4.19</t>
  </si>
  <si>
    <t>4.22</t>
  </si>
  <si>
    <t>4.26</t>
  </si>
  <si>
    <t>4.36</t>
  </si>
  <si>
    <t>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t>
  </si>
  <si>
    <t>Приобретение товаров(работ,услуг) в целях оснащения муниципальных образовательных организаций</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</si>
  <si>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1.20, 1.26)****</t>
  </si>
  <si>
    <t>*** Подпункт 2.15.1 пункта 2.15  государственной программы Краснодарского края «Развитие образования». Предоставление субсидии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</si>
  <si>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4.44</t>
  </si>
  <si>
    <t xml:space="preserve">3) на иные цели: приобретение автобусов(микроавтобусов), оплата расходов по их регистрации, расходы по активации карт тахографов и ГЛОНАСС, расходы на лицензирование, страховку, техосмотр и др. </t>
  </si>
  <si>
    <t>4) на иные цели:проведение медицинских осмотров лиц, занимающихся физической культурой и спортом.</t>
  </si>
  <si>
    <t>4.45</t>
  </si>
  <si>
    <t>4.46</t>
  </si>
  <si>
    <t>4.47</t>
  </si>
  <si>
    <t>4.48</t>
  </si>
  <si>
    <t>4.49</t>
  </si>
  <si>
    <t>Предоставление субсидий образовательным организациям на приобретение имущества, не включенного в проектно-сметную документацию</t>
  </si>
  <si>
    <t>Приобретение имущества</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</si>
  <si>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"Патриотическое воспитание граждан Российской Федерации" (приобретение товаров (работ, услуг) в целях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в т.ч. предоставление субсидий образовательным организациям</t>
  </si>
  <si>
    <t>Федеральный бюджет</t>
  </si>
  <si>
    <t>№ п/п</t>
  </si>
  <si>
    <t>Наименование целевого показателя</t>
  </si>
  <si>
    <t>Единица измерения</t>
  </si>
  <si>
    <t>Значение показателей</t>
  </si>
  <si>
    <t>год</t>
  </si>
  <si>
    <t>Доля детей, охваченных дошкольным образованием, от общей численности детей</t>
  </si>
  <si>
    <t>проценты</t>
  </si>
  <si>
    <t>Введение дополнительных мест в системе дошкольного образования</t>
  </si>
  <si>
    <t>тыс.мест</t>
  </si>
  <si>
    <t>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3-7 лет, скорректированной на численность детей в возрасте 5-7 лет, обучающихся в школах</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</si>
  <si>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</si>
  <si>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5.</t>
  </si>
  <si>
    <t>Численность обучающихся по программам общего образования в общеобразовательных организациях района</t>
  </si>
  <si>
    <t>тыс. человек</t>
  </si>
  <si>
    <t>6.</t>
  </si>
  <si>
    <t>Численность обучающихся по программам общего образования в расчете на 1 учителя</t>
  </si>
  <si>
    <t>человек</t>
  </si>
  <si>
    <t>7.</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</si>
  <si>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</si>
  <si>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8.</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</si>
  <si>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</si>
  <si>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9.</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</si>
  <si>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</si>
  <si>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10.</t>
  </si>
  <si>
    <t>Количество персональных компьютеров в расчете на 100 учащихся общеобразовательных школ</t>
  </si>
  <si>
    <t>количество</t>
  </si>
  <si>
    <t>11.</t>
  </si>
  <si>
    <t>Доля общеобразовательных организаций, имеющих скорость доступа к сети «Интернет» не менее 2  Мб/с</t>
  </si>
  <si>
    <t>12.</t>
  </si>
  <si>
    <t>Доля обучающихся, которым предоставлены от 80 до 100 процентов основных видов условий обучения (в общей численности обучающихся по программам общего образования)</t>
  </si>
  <si>
    <t>13.</t>
  </si>
  <si>
    <t>Доля детей и молодежи в возрасте 5—18 лет, охваченных образовательными программами дополнительного образования</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</si>
  <si>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 по отрасли «Образование»</t>
  </si>
  <si>
    <t>15.</t>
  </si>
  <si>
    <t>Количество созданных дистанционных мест обучения</t>
  </si>
  <si>
    <t>шт.</t>
  </si>
  <si>
    <t>16.</t>
  </si>
  <si>
    <t>Выполнение муниципальных заданий муниципальными организациями</t>
  </si>
  <si>
    <t>17.</t>
  </si>
  <si>
    <t>Доля образовательных организаций, получивших предписания управления по надзору и контролю в сфере образования</t>
  </si>
  <si>
    <t>18.</t>
  </si>
  <si>
    <t>Средний срок процедуры лицензирования образовательной деятельности</t>
  </si>
  <si>
    <t>дней</t>
  </si>
  <si>
    <t>19.</t>
  </si>
  <si>
    <t>Количество отремонтированных образовательных организаций</t>
  </si>
  <si>
    <t>единиц</t>
  </si>
  <si>
    <t>20.</t>
  </si>
  <si>
    <t>Количество капитально отремонтированных зданий образовательных организаций</t>
  </si>
  <si>
    <t>количество организаций</t>
  </si>
  <si>
    <t>21.</t>
  </si>
  <si>
    <t>Количество автобусов, приобретенных для подвоза учащихся к общеобразовательным организациям</t>
  </si>
  <si>
    <t>22.</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</si>
  <si>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</si>
  <si>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процентов</t>
  </si>
  <si>
    <t>23.</t>
  </si>
  <si>
    <t>Количество организаций, расположенных в сельской местности, в которых отремонтированы спортивные залы</t>
  </si>
  <si>
    <t>24.</t>
  </si>
  <si>
    <t>Количество муниципальных образовательных организаций, осуществляющих приобретение движимого имущества</t>
  </si>
  <si>
    <t>25.</t>
  </si>
  <si>
    <t>Обеспечение безопасности муниципальных образовательных организаций</t>
  </si>
  <si>
    <t>26.</t>
  </si>
  <si>
    <t>Количество капитально отремонтированных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физкультурно–оздоровительных комплексов</t>
  </si>
  <si>
    <t>27.</t>
  </si>
  <si>
    <t>Количество автобусов, осуществляющих подвоз учащихся, не менее</t>
  </si>
  <si>
    <t>28.</t>
  </si>
  <si>
    <t>Количество образовательных организаций, на территории которых произведено благоустройство, в том числе капитальный ремонт и устройство теневых навесов(приобретение)</t>
  </si>
  <si>
    <t>29.</t>
  </si>
  <si>
    <t>Количество образовательных организаций, которым выделяются средства на изготовление ПСД, а также на иные расходы, связанные с изготовлением ПСД для проведения капитальных ремонтов</t>
  </si>
  <si>
    <t>30.</t>
  </si>
  <si>
    <t>Количество организаций, осуществляющих подготовку к осенне-зимнему периоду</t>
  </si>
  <si>
    <t>Начальник управления образования</t>
  </si>
  <si>
    <t xml:space="preserve">Приложение №1 
к муниципальной программе
 «Развитие образования» на 2018-2025 годы» 
</t>
  </si>
  <si>
    <t xml:space="preserve">Цели, задачи и целевые показатели муниципальной программы
 «Развитие образования» на 2018-2025 годы» 
</t>
  </si>
  <si>
    <t>Муниципальный заказчик  мероприрятия, получатель субсидий(субвенций), ответственный за выполнение мероприятий, исполнитель</t>
  </si>
  <si>
    <t>Подготовка к отопительному сезону</t>
  </si>
  <si>
    <t xml:space="preserve">Обеспечение питанием учащихся из многодетных семей из расчета по 10 рублей в день, в том числе: оплата кредиторской задолженности
</t>
  </si>
  <si>
    <t>4.50</t>
  </si>
  <si>
    <t>Ремонт и (или) оснащение помещений</t>
  </si>
  <si>
    <t>31.</t>
  </si>
  <si>
    <t>Количество оснащенных и (или) отремонтированных помещий образовательных организаций для создания "Центра детских инициатив"</t>
  </si>
  <si>
    <t>Предоставление субсидий образовательным организациям на ремонт и (или) оснащение помещений образовательных организаций, предназначенных для создания "Центра детских инициатив"</t>
  </si>
  <si>
    <t>муниципальный социальный заказ на оказание муниципальных услуг в социальной сфере</t>
  </si>
  <si>
    <t>4.51</t>
  </si>
  <si>
    <t>Финансовое обеспечение затрат, связанных с оказанием
услуг</t>
  </si>
  <si>
    <t xml:space="preserve">Предоставление субсидий образовательным организациям  на грант в форме субсидии на:  оказание психолого-педагогической, методической и консультативной помощи гражданам, имеющим детей, в рамках реализации мероприятий регионального проекта "Современная школа"
</t>
  </si>
  <si>
    <t>5) Предоставление грантов в форме субсидий в части персонифицированного финансирования,                           социального заказа</t>
  </si>
  <si>
    <t>4.52</t>
  </si>
  <si>
    <t>4.53</t>
  </si>
  <si>
    <t xml:space="preserve">Предоставление субсидий образовательным организациям  на демонтажные работы, утилизацию здания (в том числе разработка ПСД и т.д.)
</t>
  </si>
  <si>
    <t xml:space="preserve">Предоставление субсидий образовательным организациям  на осуществление компенсационной денежной выплаты обучающимся детям-инвалидам не являющихся обучающимися с ограниченными возможностями здоровья, нуждающихся в лечебном и диетическом питании, получающим начальное, общее, основное общее и среднее общее образование, получающих образование в общеобразовательных организациях
</t>
  </si>
  <si>
    <t xml:space="preserve">Выплата ежемесячной денежной выплаты
</t>
  </si>
  <si>
    <t>4.54</t>
  </si>
  <si>
    <t>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</si>
  <si>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4.55</t>
  </si>
  <si>
    <t>4.56</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</si>
  <si>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t>
  </si>
  <si>
    <t>4.57</t>
  </si>
  <si>
    <t>4.58</t>
  </si>
  <si>
    <t>Предоставление субсидий образовательным организациям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</si>
  <si>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4.59</t>
  </si>
  <si>
    <t>Предоставление субсидий образовательным организациям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проведения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</si>
  <si>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обеспечение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</si>
  <si>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Предоставление субсидий образовательным организациям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целях обеспечения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</si>
  <si>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Устройство, строительство, реконструкция, обустройство объектов, благоустройство территорий, расположенных на территории образовательных организаций </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</si>
  <si>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</si>
  <si>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 муниципального образования Северский район                                                       в т.ч. предоставление субсидий</t>
  </si>
  <si>
    <t xml:space="preserve">Капитальный ремонт зданий </t>
  </si>
  <si>
    <t xml:space="preserve">**** Пункт 1.1, 1.3, 1.5, 1.20, 1.26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1.13, 1.20, 1.26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</si>
  <si>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</si>
  <si>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</si>
  <si>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обеспечение функционирования модели персонифицированного финансировния дополнительного образования детей</t>
  </si>
  <si>
    <t>Капитальный ремонт зданий, помещений, сооружений,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</si>
  <si>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оплату услуг по доставке пищи и пищеприготовлению обучающихся в муниципальных образовательных организациях</t>
  </si>
  <si>
    <t>Бюджет Краснодарс- кого края</t>
  </si>
  <si>
    <t>3. Повышение социального и профессионального уровня работников образования, формирование современной системы непрерывного образования</t>
  </si>
  <si>
    <t>Цель: Обеспечение организационных, информационных и научно-методических условий для реализации муниципальной программы, включая руководство в сфере образования, систему оценки качества образования и общественную поддержку</t>
  </si>
  <si>
    <t>Задача: Организация предоставления общедоступного и бесплатного дошкольного, начального общего, основного общего, среднего общего, а также дополнительного образования на территории муниципального образования</t>
  </si>
  <si>
    <t>Цель: Формирование условий для повышения качества, доступности, устойчивого функционирования и развития системы образования Северского района</t>
  </si>
  <si>
    <t>Задача: Создание условий для введения новых федеральных государственных образовательных стандартов</t>
  </si>
  <si>
    <t>Цель: Создание в системе дошкольного, общего и дополнительного образования равных возможностей для современного качественного образования и позитивной социализации детей</t>
  </si>
  <si>
    <t>Задача: Модернизация образовательных программ в системах дошкольного, общего образования, дополнительного образования детей, направленная на достижение современного качества учебных результатов и результатов социализации обучающихся</t>
  </si>
  <si>
    <t>Цель: Обеспечение высокого качества образования в соответствии с запросами населения Северского района и перспективными задачами развития экономики Северского района, Краснодарского края и России</t>
  </si>
  <si>
    <t>Задача: Обеспечение системы образования Северского района высококвалифицированными кадрами, повышение их социального и профессионального уровня</t>
  </si>
  <si>
    <t xml:space="preserve">Обеспечение бесплатным двухразовым питанием детей-инвалидов (инвалидов),                в том числе: оплата кредиторской задолженности
</t>
  </si>
  <si>
    <t xml:space="preserve">Организация и обеспечение бесплатным горячим питанием обучающихся с ограниченными возможностями здоровья, в том числе: оплата кредиторской задолженности
 </t>
  </si>
  <si>
    <t>Задача: Совершенствование системы управления в сфере образования муниципального района</t>
  </si>
  <si>
    <t>Объем финансирова-ния, всего тыс.руб.</t>
  </si>
  <si>
    <t>В том числе, обеспече-ние условия предоставления субсидии</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</si>
  <si>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помещений, зданий и сооружений, благоустройство территорий, прилегающих к зданиям и сооружениям муниципальных образовательных организаций)</t>
  </si>
  <si>
    <t>4.60</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</si>
  <si>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и переоснащение пищевых
 блоков муниципальных общеобразовательных 
организаций) 
</t>
  </si>
  <si>
    <t>4.61</t>
  </si>
  <si>
    <t>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</si>
  <si>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Перечень основных мероприятий муниципальной программы " Развитие образования"                              на 2018-2027 годы"</t>
  </si>
  <si>
    <t>"Развитие образования" на 2018-2027 годы"</t>
  </si>
  <si>
    <t>4.62</t>
  </si>
  <si>
    <t>Предоставление субсидий образовательным организациям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расположенных на территории Краснодарского края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</si>
  <si>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</si>
  <si>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 xml:space="preserve">Предоставление субсидий образовательным организациям на финансовое 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 в рамках федерального проекта «Современная школа» национального проекта «Образование» </t>
  </si>
  <si>
    <t xml:space="preserve">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 </t>
  </si>
  <si>
    <t xml:space="preserve">Организация предоставления общедоступного и бесплатного начального общего, основного общего, среднего общего образования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t>
  </si>
  <si>
    <t xml:space="preserve">Организация и обеспечение бесплатным  питанием обучающихся с ограниченными возможностями здоровья, в том числе: оплата кредиторской задолженности
 </t>
  </si>
  <si>
    <t>СПРОСИТЬ У ЛЕБИНОЙ!!!!!!!!!!!!!!!!!!!!!!!!</t>
  </si>
  <si>
    <t>Предоставление субсидий образовательным организациям на обеспечение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 - инвалидов (инвалидов), не являющихся обучающимися с ограниченными возможностями здоровья, получающих основное общее и среднее общее образование)</t>
  </si>
  <si>
    <t xml:space="preserve">Начальник управления образования  </t>
  </si>
  <si>
    <t>Предоставление субсидий образовательным организациям на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</si>
</sst>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37" x14ac:knownFonts="1">
    <font>
      <sz val="11"/>
      <color theme="1"/>
      <name val="Calibri"/>
      <family val="2"/>
      <scheme val="minor"/>
    </font>
    <font>
      <sz val="11"/>
      <color theme="1"/>
      <name val="Calibri"/>
      <family val="2"/>
      <scheme val="minor"/>
    </font>
    <font>
      <b/>
      <sz val="13"/>
      <color theme="1"/>
      <name val="Times New Roman"/>
      <family val="1"/>
      <charset val="204"/>
    </font>
    <font>
      <sz val="13"/>
      <color theme="1"/>
      <name val="Times New Roman"/>
      <family val="1"/>
      <charset val="204"/>
    </font>
    <font>
      <sz val="14"/>
      <color theme="1"/>
      <name val="Times New Roman"/>
      <family val="1"/>
      <charset val="204"/>
    </font>
    <font>
      <sz val="16"/>
      <color theme="1"/>
      <name val="Times New Roman"/>
      <family val="1"/>
      <charset val="204"/>
    </font>
    <font>
      <sz val="24"/>
      <color theme="1"/>
      <name val="Times New Roman"/>
      <family val="1"/>
      <charset val="204"/>
    </font>
    <font>
      <b/>
      <sz val="14"/>
      <color theme="1"/>
      <name val="Times New Roman"/>
      <family val="1"/>
      <charset val="204"/>
    </font>
    <font>
      <sz val="12"/>
      <color theme="1"/>
      <name val="Times New Roman"/>
      <family val="1"/>
      <charset val="204"/>
    </font>
    <font>
      <sz val="14"/>
      <color theme="1"/>
      <name val="Calibri"/>
      <family val="2"/>
      <scheme val="minor"/>
    </font>
    <font>
      <sz val="14"/>
      <color rgb="FF404040"/>
      <name val="Times New Roman"/>
      <family val="1"/>
      <charset val="204"/>
    </font>
    <font>
      <sz val="14"/>
      <color rgb="FF000000"/>
      <name val="Times New Roman"/>
      <family val="1"/>
      <charset val="204"/>
    </font>
    <font>
      <sz val="15"/>
      <color theme="1"/>
      <name val="Times New Roman"/>
      <family val="1"/>
      <charset val="204"/>
    </font>
    <font>
      <sz val="15"/>
      <name val="Times New Roman"/>
      <family val="1"/>
      <charset val="204"/>
    </font>
    <font>
      <b/>
      <sz val="15"/>
      <name val="Times New Roman"/>
      <family val="1"/>
      <charset val="204"/>
    </font>
    <font>
      <sz val="9"/>
      <color indexed="81"/>
      <name val="Tahoma"/>
      <family val="2"/>
      <charset val="204"/>
    </font>
    <font>
      <b/>
      <sz val="12"/>
      <color indexed="81"/>
      <name val="Tahoma"/>
      <family val="2"/>
      <charset val="204"/>
    </font>
    <font>
      <sz val="12"/>
      <color indexed="81"/>
      <name val="Tahoma"/>
      <family val="2"/>
      <charset val="204"/>
    </font>
    <font>
      <b/>
      <sz val="9"/>
      <color indexed="81"/>
      <name val="Tahoma"/>
      <family val="2"/>
      <charset val="204"/>
    </font>
    <font>
      <sz val="12"/>
      <color indexed="81"/>
      <name val="Calibri Light"/>
      <family val="2"/>
      <charset val="204"/>
      <scheme val="major"/>
    </font>
    <font>
      <sz val="11"/>
      <color indexed="81"/>
      <name val="Tahoma"/>
      <family val="2"/>
      <charset val="204"/>
    </font>
    <font>
      <b/>
      <sz val="11"/>
      <color indexed="81"/>
      <name val="Tahoma"/>
      <family val="2"/>
      <charset val="204"/>
    </font>
    <font>
      <b/>
      <sz val="12"/>
      <color indexed="81"/>
      <name val="Calibri Light"/>
      <family val="2"/>
      <charset val="204"/>
      <scheme val="major"/>
    </font>
    <font>
      <sz val="10"/>
      <color indexed="81"/>
      <name val="Tahoma"/>
      <family val="2"/>
      <charset val="204"/>
    </font>
    <font>
      <b/>
      <sz val="10"/>
      <color indexed="81"/>
      <name val="Tahoma"/>
      <family val="2"/>
      <charset val="204"/>
    </font>
    <font>
      <sz val="9"/>
      <color indexed="81"/>
      <name val="Tahoma"/>
      <charset val="1"/>
    </font>
    <font>
      <b/>
      <sz val="9"/>
      <color indexed="81"/>
      <name val="Tahoma"/>
      <charset val="1"/>
    </font>
    <font>
      <sz val="13"/>
      <color indexed="81"/>
      <name val="Tahoma"/>
      <family val="2"/>
      <charset val="204"/>
    </font>
    <font>
      <b/>
      <sz val="13"/>
      <color indexed="81"/>
      <name val="Tahoma"/>
      <family val="2"/>
      <charset val="204"/>
    </font>
    <font>
      <sz val="13"/>
      <name val="Calibri"/>
      <family val="2"/>
      <scheme val="minor"/>
    </font>
    <font>
      <sz val="14"/>
      <name val="Calibri"/>
      <family val="2"/>
      <scheme val="minor"/>
    </font>
    <font>
      <b/>
      <sz val="22"/>
      <name val="Times New Roman"/>
      <family val="1"/>
      <charset val="204"/>
    </font>
    <font>
      <sz val="16"/>
      <name val="Calibri"/>
      <family val="2"/>
      <scheme val="minor"/>
    </font>
    <font>
      <sz val="16"/>
      <name val="Times New Roman"/>
      <family val="1"/>
      <charset val="204"/>
    </font>
    <font>
      <sz val="11"/>
      <name val="Calibri"/>
      <family val="2"/>
      <scheme val="minor"/>
    </font>
    <font>
      <sz val="13"/>
      <name val="Times New Roman"/>
      <family val="1"/>
      <charset val="204"/>
    </font>
    <font>
      <sz val="15"/>
      <name val="Calibri"/>
      <family val="2"/>
      <scheme val="minor"/>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370">
    <xf numFmtId="0" fontId="0" fillId="0" borderId="0" xfId="0"/>
    <xf numFmtId="0" fontId="9" fillId="0" borderId="40" xfId="0" applyFont="1" applyBorder="1"/>
    <xf numFmtId="0" fontId="9" fillId="0" borderId="0" xfId="0" applyFont="1"/>
    <xf numFmtId="0" fontId="9" fillId="0" borderId="60" xfId="0" applyFont="1" applyBorder="1"/>
    <xf numFmtId="0" fontId="4" fillId="0" borderId="0" xfId="0" applyFont="1"/>
    <xf numFmtId="0" fontId="9"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7" fillId="0" borderId="0" xfId="0" applyFont="1" applyAlignment="1">
      <alignment wrapText="1"/>
    </xf>
    <xf numFmtId="0" fontId="7" fillId="0" borderId="59" xfId="0" applyFont="1" applyBorder="1" applyAlignment="1">
      <alignment wrapText="1"/>
    </xf>
    <xf numFmtId="0" fontId="8" fillId="0" borderId="0" xfId="0" applyFont="1" applyAlignment="1">
      <alignment vertical="top" wrapText="1"/>
    </xf>
    <xf numFmtId="0" fontId="8" fillId="0" borderId="59" xfId="0" applyFont="1" applyBorder="1" applyAlignment="1">
      <alignment vertical="top" wrapText="1"/>
    </xf>
    <xf numFmtId="49" fontId="14" fillId="0" borderId="1" xfId="1" applyNumberFormat="1" applyFont="1" applyFill="1" applyBorder="1" applyAlignment="1">
      <alignment vertical="center"/>
    </xf>
    <xf numFmtId="49" fontId="13" fillId="0" borderId="15"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49" fontId="13" fillId="0" borderId="19" xfId="1" applyNumberFormat="1" applyFont="1" applyFill="1" applyBorder="1" applyAlignment="1">
      <alignment horizontal="center" vertical="center"/>
    </xf>
    <xf numFmtId="49" fontId="13" fillId="0" borderId="4"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49" fontId="14" fillId="0" borderId="1" xfId="1" applyNumberFormat="1" applyFont="1" applyFill="1" applyBorder="1" applyAlignment="1">
      <alignment horizontal="center" vertical="center"/>
    </xf>
    <xf numFmtId="49" fontId="13" fillId="0" borderId="2" xfId="1" applyNumberFormat="1" applyFont="1" applyFill="1" applyBorder="1" applyAlignment="1">
      <alignment horizontal="center" vertical="center"/>
    </xf>
    <xf numFmtId="49" fontId="13" fillId="0" borderId="3" xfId="1"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8" fillId="0" borderId="0" xfId="0" applyFont="1" applyAlignment="1">
      <alignment horizontal="right" wrapText="1"/>
    </xf>
    <xf numFmtId="0" fontId="7" fillId="0" borderId="0" xfId="0" applyFont="1" applyAlignment="1">
      <alignment horizont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13" fillId="0" borderId="14" xfId="1" applyNumberFormat="1" applyFont="1" applyFill="1" applyBorder="1" applyAlignment="1">
      <alignment horizontal="center" vertical="center"/>
    </xf>
    <xf numFmtId="49" fontId="13" fillId="0" borderId="4" xfId="1" applyNumberFormat="1" applyFont="1" applyFill="1" applyBorder="1" applyAlignment="1">
      <alignment vertical="center"/>
    </xf>
    <xf numFmtId="49" fontId="13" fillId="0" borderId="9" xfId="1" applyNumberFormat="1" applyFont="1" applyFill="1" applyBorder="1" applyAlignment="1">
      <alignment horizontal="center" vertical="center"/>
    </xf>
    <xf numFmtId="49" fontId="13" fillId="0" borderId="55" xfId="1" applyNumberFormat="1" applyFont="1" applyFill="1" applyBorder="1" applyAlignment="1">
      <alignment horizontal="center" vertical="center"/>
    </xf>
    <xf numFmtId="49" fontId="13" fillId="0" borderId="50" xfId="1" applyNumberFormat="1" applyFont="1" applyFill="1" applyBorder="1" applyAlignment="1">
      <alignment horizontal="center" vertical="center"/>
    </xf>
    <xf numFmtId="49" fontId="13" fillId="0" borderId="56" xfId="1" applyNumberFormat="1" applyFont="1" applyFill="1" applyBorder="1" applyAlignment="1">
      <alignment horizontal="center" vertical="center"/>
    </xf>
    <xf numFmtId="164" fontId="13" fillId="0" borderId="41" xfId="1" applyFont="1" applyFill="1" applyBorder="1" applyAlignment="1">
      <alignment horizontal="center" vertical="center"/>
    </xf>
    <xf numFmtId="164" fontId="13" fillId="0" borderId="50" xfId="1" applyFont="1" applyFill="1" applyBorder="1" applyAlignment="1">
      <alignment horizontal="center" vertical="center"/>
    </xf>
    <xf numFmtId="164" fontId="13" fillId="0" borderId="56" xfId="1" applyFont="1" applyFill="1" applyBorder="1" applyAlignment="1">
      <alignment horizontal="center" vertical="center"/>
    </xf>
    <xf numFmtId="49" fontId="13" fillId="0" borderId="46" xfId="1" applyNumberFormat="1" applyFont="1" applyFill="1" applyBorder="1" applyAlignment="1">
      <alignment horizontal="center" vertical="center"/>
    </xf>
    <xf numFmtId="49" fontId="13" fillId="0" borderId="69" xfId="1" applyNumberFormat="1" applyFont="1" applyFill="1" applyBorder="1" applyAlignment="1">
      <alignment horizontal="center" vertical="center"/>
    </xf>
    <xf numFmtId="49" fontId="13" fillId="0" borderId="39" xfId="1" applyNumberFormat="1" applyFont="1" applyFill="1" applyBorder="1" applyAlignment="1">
      <alignment horizontal="center" vertical="center"/>
    </xf>
    <xf numFmtId="49" fontId="13" fillId="0" borderId="41" xfId="1" applyNumberFormat="1" applyFont="1" applyFill="1" applyBorder="1" applyAlignment="1">
      <alignment horizontal="center" vertical="center"/>
    </xf>
    <xf numFmtId="49" fontId="13" fillId="0" borderId="38" xfId="1" applyNumberFormat="1" applyFont="1" applyFill="1" applyBorder="1" applyAlignment="1">
      <alignment horizontal="center" vertical="center"/>
    </xf>
    <xf numFmtId="49" fontId="13" fillId="0" borderId="37" xfId="1" applyNumberFormat="1" applyFont="1" applyFill="1" applyBorder="1" applyAlignment="1">
      <alignment horizontal="center" vertical="center"/>
    </xf>
    <xf numFmtId="49" fontId="13" fillId="0" borderId="36" xfId="1" applyNumberFormat="1" applyFont="1" applyFill="1" applyBorder="1" applyAlignment="1">
      <alignment horizontal="center" vertical="center"/>
    </xf>
    <xf numFmtId="49" fontId="13" fillId="0" borderId="48" xfId="1" applyNumberFormat="1" applyFont="1" applyFill="1" applyBorder="1" applyAlignment="1">
      <alignment vertical="center"/>
    </xf>
    <xf numFmtId="0" fontId="29" fillId="0" borderId="65" xfId="0" applyFont="1" applyFill="1" applyBorder="1"/>
    <xf numFmtId="0" fontId="30" fillId="0" borderId="21" xfId="0" applyFont="1" applyFill="1" applyBorder="1"/>
    <xf numFmtId="0" fontId="29" fillId="0" borderId="21" xfId="0" applyFont="1" applyFill="1" applyBorder="1"/>
    <xf numFmtId="0" fontId="31" fillId="0" borderId="21" xfId="0" applyFont="1" applyFill="1" applyBorder="1" applyAlignment="1">
      <alignment horizontal="center" vertical="center" wrapText="1"/>
    </xf>
    <xf numFmtId="0" fontId="32" fillId="0" borderId="21" xfId="0" applyFont="1" applyFill="1" applyBorder="1"/>
    <xf numFmtId="0" fontId="33" fillId="0" borderId="66" xfId="0" applyFont="1" applyFill="1" applyBorder="1" applyAlignment="1">
      <alignment horizontal="right" vertical="top"/>
    </xf>
    <xf numFmtId="0" fontId="34" fillId="0" borderId="0" xfId="0" applyFont="1" applyFill="1"/>
    <xf numFmtId="0" fontId="0" fillId="0" borderId="0" xfId="0" applyFill="1"/>
    <xf numFmtId="0" fontId="29" fillId="0" borderId="51" xfId="0" applyFont="1" applyFill="1" applyBorder="1"/>
    <xf numFmtId="0" fontId="30" fillId="0" borderId="0" xfId="0" applyFont="1" applyFill="1"/>
    <xf numFmtId="0" fontId="29" fillId="0" borderId="0" xfId="0" applyFont="1" applyFill="1"/>
    <xf numFmtId="0" fontId="31" fillId="0" borderId="0" xfId="0" applyFont="1" applyFill="1" applyAlignment="1">
      <alignment horizontal="center" vertical="center" wrapText="1"/>
    </xf>
    <xf numFmtId="0" fontId="32" fillId="0" borderId="0" xfId="0" applyFont="1" applyFill="1"/>
    <xf numFmtId="0" fontId="33" fillId="0" borderId="62" xfId="0" applyFont="1" applyFill="1" applyBorder="1" applyAlignment="1">
      <alignment horizontal="right" vertical="top"/>
    </xf>
    <xf numFmtId="0" fontId="31" fillId="0" borderId="2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3" fillId="0" borderId="1" xfId="0" applyFont="1" applyFill="1" applyBorder="1" applyAlignment="1">
      <alignment horizontal="center"/>
    </xf>
    <xf numFmtId="0" fontId="14" fillId="0" borderId="46" xfId="0" applyFont="1" applyFill="1" applyBorder="1" applyAlignment="1">
      <alignment horizontal="center" vertical="center"/>
    </xf>
    <xf numFmtId="0" fontId="13" fillId="0" borderId="58" xfId="0" applyFont="1" applyFill="1" applyBorder="1" applyAlignment="1">
      <alignment horizontal="left"/>
    </xf>
    <xf numFmtId="0" fontId="13" fillId="0" borderId="59" xfId="0" applyFont="1" applyFill="1" applyBorder="1" applyAlignment="1">
      <alignment horizontal="left"/>
    </xf>
    <xf numFmtId="0" fontId="13" fillId="0" borderId="73" xfId="0" applyFont="1" applyFill="1" applyBorder="1" applyAlignment="1">
      <alignment horizontal="left"/>
    </xf>
    <xf numFmtId="0" fontId="14" fillId="0" borderId="12" xfId="0" applyFont="1" applyFill="1" applyBorder="1" applyAlignment="1">
      <alignment horizontal="center" vertical="center"/>
    </xf>
    <xf numFmtId="0" fontId="13" fillId="0" borderId="32" xfId="0" applyFont="1" applyFill="1" applyBorder="1" applyAlignment="1">
      <alignment horizontal="left"/>
    </xf>
    <xf numFmtId="0" fontId="13" fillId="0" borderId="28" xfId="0" applyFont="1" applyFill="1" applyBorder="1" applyAlignment="1">
      <alignment horizontal="left"/>
    </xf>
    <xf numFmtId="0" fontId="13" fillId="0" borderId="29" xfId="0" applyFont="1" applyFill="1" applyBorder="1" applyAlignment="1">
      <alignment horizontal="left"/>
    </xf>
    <xf numFmtId="0" fontId="14" fillId="0" borderId="4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52"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65"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165"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4" xfId="0" applyFont="1" applyFill="1" applyBorder="1" applyAlignment="1">
      <alignment horizontal="center" vertical="center"/>
    </xf>
    <xf numFmtId="165" fontId="13" fillId="0" borderId="13" xfId="0" applyNumberFormat="1" applyFont="1" applyFill="1" applyBorder="1" applyAlignment="1">
      <alignment horizontal="center" vertical="center"/>
    </xf>
    <xf numFmtId="0" fontId="13" fillId="0" borderId="14"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165"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top" wrapText="1"/>
    </xf>
    <xf numFmtId="165" fontId="13" fillId="0" borderId="1" xfId="0" applyNumberFormat="1" applyFont="1" applyFill="1" applyBorder="1" applyAlignment="1">
      <alignment horizontal="center" vertical="top" wrapText="1"/>
    </xf>
    <xf numFmtId="165" fontId="14" fillId="0" borderId="1" xfId="0" applyNumberFormat="1" applyFont="1" applyFill="1" applyBorder="1" applyAlignment="1">
      <alignment horizontal="center" vertical="center"/>
    </xf>
    <xf numFmtId="0" fontId="13" fillId="0" borderId="14" xfId="0" applyFont="1" applyFill="1" applyBorder="1" applyAlignment="1">
      <alignment horizontal="center" vertical="top" wrapText="1"/>
    </xf>
    <xf numFmtId="165" fontId="13" fillId="0" borderId="13" xfId="0" applyNumberFormat="1" applyFont="1" applyFill="1" applyBorder="1" applyAlignment="1">
      <alignment horizontal="center" vertical="top" wrapText="1"/>
    </xf>
    <xf numFmtId="165" fontId="14" fillId="0" borderId="13" xfId="0" applyNumberFormat="1" applyFont="1" applyFill="1" applyBorder="1" applyAlignment="1">
      <alignment horizontal="center" vertical="center"/>
    </xf>
    <xf numFmtId="0" fontId="14" fillId="0" borderId="4" xfId="0" applyFont="1" applyFill="1" applyBorder="1" applyAlignment="1">
      <alignment vertical="center" wrapText="1"/>
    </xf>
    <xf numFmtId="0" fontId="13" fillId="0" borderId="58" xfId="0" applyFont="1" applyFill="1" applyBorder="1" applyAlignment="1">
      <alignment horizontal="center" vertical="center" wrapText="1"/>
    </xf>
    <xf numFmtId="0" fontId="14" fillId="0" borderId="11" xfId="0" applyFont="1" applyFill="1" applyBorder="1" applyAlignment="1">
      <alignment vertical="center"/>
    </xf>
    <xf numFmtId="165" fontId="14" fillId="0" borderId="4" xfId="0" applyNumberFormat="1" applyFont="1" applyFill="1" applyBorder="1" applyAlignment="1">
      <alignment horizontal="center" vertical="center"/>
    </xf>
    <xf numFmtId="165" fontId="14" fillId="0" borderId="23" xfId="0" applyNumberFormat="1" applyFont="1" applyFill="1" applyBorder="1" applyAlignment="1">
      <alignment horizontal="center" vertical="center"/>
    </xf>
    <xf numFmtId="0" fontId="13" fillId="0" borderId="68" xfId="0" applyFont="1" applyFill="1" applyBorder="1" applyAlignment="1">
      <alignment horizontal="center"/>
    </xf>
    <xf numFmtId="0" fontId="13" fillId="0" borderId="4" xfId="0" applyFont="1" applyFill="1" applyBorder="1" applyAlignment="1">
      <alignment horizontal="center"/>
    </xf>
    <xf numFmtId="0" fontId="13" fillId="0" borderId="58" xfId="0" applyFont="1" applyFill="1" applyBorder="1" applyAlignment="1">
      <alignment horizontal="left" wrapText="1"/>
    </xf>
    <xf numFmtId="0" fontId="13" fillId="0" borderId="59" xfId="0" applyFont="1" applyFill="1" applyBorder="1" applyAlignment="1">
      <alignment horizontal="left" wrapText="1"/>
    </xf>
    <xf numFmtId="0" fontId="13" fillId="0" borderId="73" xfId="0" applyFont="1" applyFill="1" applyBorder="1" applyAlignment="1">
      <alignment horizontal="left" wrapText="1"/>
    </xf>
    <xf numFmtId="0" fontId="13" fillId="0" borderId="32" xfId="0" applyFont="1" applyFill="1" applyBorder="1" applyAlignment="1">
      <alignment horizontal="left" wrapText="1"/>
    </xf>
    <xf numFmtId="0" fontId="13" fillId="0" borderId="28" xfId="0" applyFont="1" applyFill="1" applyBorder="1" applyAlignment="1">
      <alignment horizontal="left" wrapText="1"/>
    </xf>
    <xf numFmtId="0" fontId="13" fillId="0" borderId="29" xfId="0" applyFont="1" applyFill="1" applyBorder="1" applyAlignment="1">
      <alignment horizontal="left" wrapText="1"/>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8" xfId="0" applyFont="1" applyFill="1" applyBorder="1" applyAlignment="1">
      <alignment horizontal="center" vertical="center"/>
    </xf>
    <xf numFmtId="165" fontId="13" fillId="0" borderId="8" xfId="0" applyNumberFormat="1"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16" xfId="0" applyFont="1" applyFill="1" applyBorder="1" applyAlignment="1">
      <alignment horizontal="center" vertical="top" wrapText="1"/>
    </xf>
    <xf numFmtId="0" fontId="0" fillId="0" borderId="21" xfId="0" applyFill="1" applyBorder="1"/>
    <xf numFmtId="0" fontId="13" fillId="0" borderId="1" xfId="0" applyFont="1" applyFill="1" applyBorder="1" applyAlignment="1">
      <alignment horizontal="left" vertical="center" wrapText="1"/>
    </xf>
    <xf numFmtId="0" fontId="13" fillId="0" borderId="18" xfId="0" applyFont="1" applyFill="1" applyBorder="1" applyAlignment="1">
      <alignment horizontal="center" vertical="top" wrapText="1"/>
    </xf>
    <xf numFmtId="49" fontId="35" fillId="0" borderId="0" xfId="0" applyNumberFormat="1" applyFont="1" applyFill="1" applyAlignment="1">
      <alignment horizontal="center" vertical="center"/>
    </xf>
    <xf numFmtId="0" fontId="36" fillId="0" borderId="1" xfId="0" applyFont="1" applyFill="1" applyBorder="1" applyAlignment="1">
      <alignment horizontal="left" vertical="center" wrapText="1"/>
    </xf>
    <xf numFmtId="0" fontId="0" fillId="0" borderId="22" xfId="0" applyFill="1" applyBorder="1"/>
    <xf numFmtId="0" fontId="36" fillId="0" borderId="2" xfId="0" applyFont="1" applyFill="1" applyBorder="1" applyAlignment="1">
      <alignment horizontal="left" vertical="center" wrapText="1"/>
    </xf>
    <xf numFmtId="165" fontId="13" fillId="0" borderId="2" xfId="0" applyNumberFormat="1" applyFont="1" applyFill="1" applyBorder="1" applyAlignment="1">
      <alignment horizontal="center" vertical="center"/>
    </xf>
    <xf numFmtId="165" fontId="14" fillId="0" borderId="2" xfId="0" applyNumberFormat="1" applyFont="1" applyFill="1" applyBorder="1" applyAlignment="1">
      <alignment horizontal="center" vertical="center"/>
    </xf>
    <xf numFmtId="0" fontId="13" fillId="0" borderId="10" xfId="0" applyFont="1" applyFill="1" applyBorder="1" applyAlignment="1">
      <alignment horizontal="center" vertical="top" wrapText="1"/>
    </xf>
    <xf numFmtId="165" fontId="13" fillId="0" borderId="2" xfId="0" applyNumberFormat="1" applyFont="1" applyFill="1" applyBorder="1" applyAlignment="1">
      <alignment horizontal="center" vertical="top" wrapText="1"/>
    </xf>
    <xf numFmtId="0" fontId="36" fillId="0" borderId="14" xfId="0" applyFont="1" applyFill="1" applyBorder="1" applyAlignment="1">
      <alignment horizontal="left" vertical="center" wrapText="1"/>
    </xf>
    <xf numFmtId="0" fontId="13" fillId="0" borderId="13"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2" xfId="0" applyFont="1" applyFill="1" applyBorder="1"/>
    <xf numFmtId="0" fontId="14" fillId="0" borderId="13" xfId="0" applyFont="1" applyFill="1" applyBorder="1" applyAlignment="1">
      <alignment horizontal="right"/>
    </xf>
    <xf numFmtId="0" fontId="14" fillId="0" borderId="53" xfId="0" applyFont="1" applyFill="1" applyBorder="1" applyAlignment="1">
      <alignment horizontal="right"/>
    </xf>
    <xf numFmtId="0" fontId="14" fillId="0" borderId="24" xfId="0" applyFont="1" applyFill="1" applyBorder="1" applyAlignment="1">
      <alignment vertical="center"/>
    </xf>
    <xf numFmtId="165" fontId="14" fillId="0" borderId="25" xfId="0" applyNumberFormat="1" applyFont="1" applyFill="1" applyBorder="1" applyAlignment="1">
      <alignment horizontal="center" vertical="center"/>
    </xf>
    <xf numFmtId="165" fontId="14" fillId="0" borderId="26" xfId="0" applyNumberFormat="1" applyFont="1" applyFill="1" applyBorder="1" applyAlignment="1">
      <alignment horizontal="center" vertical="center"/>
    </xf>
    <xf numFmtId="0" fontId="13" fillId="0" borderId="64" xfId="0" applyFont="1" applyFill="1" applyBorder="1" applyAlignment="1">
      <alignment horizontal="center"/>
    </xf>
    <xf numFmtId="0" fontId="13" fillId="0" borderId="47" xfId="0" applyFont="1" applyFill="1" applyBorder="1" applyAlignment="1">
      <alignment horizontal="center"/>
    </xf>
    <xf numFmtId="0" fontId="34" fillId="0" borderId="59" xfId="0" applyFont="1" applyFill="1" applyBorder="1"/>
    <xf numFmtId="0" fontId="0" fillId="0" borderId="59" xfId="0" applyFill="1" applyBorder="1"/>
    <xf numFmtId="0" fontId="13" fillId="0" borderId="42" xfId="0" applyFont="1" applyFill="1" applyBorder="1" applyAlignment="1">
      <alignment horizontal="left" wrapText="1"/>
    </xf>
    <xf numFmtId="0" fontId="13" fillId="0" borderId="70" xfId="0" applyFont="1" applyFill="1" applyBorder="1" applyAlignment="1">
      <alignment horizontal="left" wrapText="1"/>
    </xf>
    <xf numFmtId="0" fontId="13" fillId="0" borderId="27" xfId="0" applyFont="1" applyFill="1" applyBorder="1" applyAlignment="1">
      <alignment horizontal="left"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7" xfId="0" applyFont="1" applyFill="1" applyBorder="1" applyAlignment="1">
      <alignment horizontal="center" vertical="top" wrapText="1"/>
    </xf>
    <xf numFmtId="0" fontId="13" fillId="0" borderId="52" xfId="0" applyFont="1" applyFill="1" applyBorder="1" applyAlignment="1">
      <alignment horizontal="center" vertical="top" wrapText="1"/>
    </xf>
    <xf numFmtId="0" fontId="13" fillId="0" borderId="61" xfId="0" applyFont="1" applyFill="1" applyBorder="1" applyAlignment="1">
      <alignment horizontal="center" vertical="center" wrapText="1"/>
    </xf>
    <xf numFmtId="0" fontId="13" fillId="0" borderId="3" xfId="0" applyFont="1" applyFill="1" applyBorder="1" applyAlignment="1">
      <alignment horizontal="center" vertical="top" wrapText="1"/>
    </xf>
    <xf numFmtId="0" fontId="13" fillId="0" borderId="48" xfId="0" applyFont="1" applyFill="1" applyBorder="1" applyAlignment="1">
      <alignment horizontal="center" vertical="top" wrapText="1"/>
    </xf>
    <xf numFmtId="0" fontId="13" fillId="0" borderId="64" xfId="0" applyFont="1" applyFill="1" applyBorder="1" applyAlignment="1">
      <alignment horizontal="center" vertical="center" wrapText="1"/>
    </xf>
    <xf numFmtId="0" fontId="13" fillId="0" borderId="13" xfId="0" applyFont="1" applyFill="1" applyBorder="1" applyAlignment="1">
      <alignment horizontal="center" vertical="top" wrapText="1"/>
    </xf>
    <xf numFmtId="0" fontId="13" fillId="0" borderId="47" xfId="0" applyFont="1" applyFill="1" applyBorder="1" applyAlignment="1">
      <alignment horizontal="center" vertical="top" wrapText="1"/>
    </xf>
    <xf numFmtId="0" fontId="13" fillId="0" borderId="46" xfId="0" applyFont="1" applyFill="1" applyBorder="1"/>
    <xf numFmtId="0" fontId="14" fillId="0" borderId="3" xfId="0" applyFont="1" applyFill="1" applyBorder="1" applyAlignment="1">
      <alignment horizontal="right"/>
    </xf>
    <xf numFmtId="0" fontId="14" fillId="0" borderId="60" xfId="0" applyFont="1" applyFill="1" applyBorder="1" applyAlignment="1">
      <alignment horizontal="right"/>
    </xf>
    <xf numFmtId="0" fontId="14" fillId="0" borderId="45" xfId="0" applyFont="1" applyFill="1" applyBorder="1" applyAlignment="1">
      <alignment vertical="center"/>
    </xf>
    <xf numFmtId="165" fontId="14" fillId="0" borderId="7" xfId="0" applyNumberFormat="1" applyFont="1" applyFill="1" applyBorder="1" applyAlignment="1">
      <alignment horizontal="center" vertical="center"/>
    </xf>
    <xf numFmtId="165" fontId="14" fillId="0" borderId="52" xfId="0" applyNumberFormat="1" applyFont="1" applyFill="1" applyBorder="1" applyAlignment="1">
      <alignment horizontal="center" vertical="center"/>
    </xf>
    <xf numFmtId="0" fontId="13" fillId="0" borderId="61" xfId="0" applyFont="1" applyFill="1" applyBorder="1"/>
    <xf numFmtId="0" fontId="13" fillId="0" borderId="48" xfId="0" applyFont="1" applyFill="1" applyBorder="1"/>
    <xf numFmtId="0" fontId="14" fillId="0" borderId="4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34" fillId="0" borderId="31" xfId="0" applyFont="1" applyFill="1" applyBorder="1"/>
    <xf numFmtId="0" fontId="0" fillId="0" borderId="31" xfId="0" applyFill="1" applyBorder="1"/>
    <xf numFmtId="0" fontId="13" fillId="0" borderId="6" xfId="0" applyFont="1" applyFill="1" applyBorder="1" applyAlignment="1">
      <alignment horizontal="center" vertical="center" wrapText="1"/>
    </xf>
    <xf numFmtId="0" fontId="13" fillId="0" borderId="19" xfId="0" applyFont="1" applyFill="1" applyBorder="1" applyAlignment="1">
      <alignment horizontal="center" vertical="center" wrapText="1"/>
    </xf>
    <xf numFmtId="165" fontId="13" fillId="0" borderId="14" xfId="0" applyNumberFormat="1" applyFont="1" applyFill="1" applyBorder="1" applyAlignment="1">
      <alignment horizontal="center" vertical="center"/>
    </xf>
    <xf numFmtId="165" fontId="13" fillId="0" borderId="14" xfId="0" applyNumberFormat="1" applyFont="1" applyFill="1" applyBorder="1" applyAlignment="1">
      <alignment horizontal="center" vertical="top" wrapText="1"/>
    </xf>
    <xf numFmtId="165" fontId="14" fillId="0" borderId="14" xfId="0"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4" fillId="0" borderId="21" xfId="0" applyFont="1" applyFill="1" applyBorder="1"/>
    <xf numFmtId="0" fontId="13" fillId="0" borderId="30" xfId="0" applyFont="1" applyFill="1" applyBorder="1" applyAlignment="1">
      <alignment horizontal="center" vertical="center" wrapText="1"/>
    </xf>
    <xf numFmtId="0" fontId="14" fillId="0" borderId="8" xfId="0" applyFont="1" applyFill="1" applyBorder="1" applyAlignment="1">
      <alignment horizontal="center" vertical="top" wrapText="1"/>
    </xf>
    <xf numFmtId="0" fontId="14" fillId="0" borderId="16"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3" fillId="0" borderId="34"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3" fillId="0" borderId="33" xfId="0" applyFont="1" applyFill="1" applyBorder="1" applyAlignment="1">
      <alignment horizontal="center" vertical="center" wrapText="1"/>
    </xf>
    <xf numFmtId="0" fontId="14" fillId="0" borderId="14"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3" fillId="0" borderId="68" xfId="0" applyFont="1" applyFill="1" applyBorder="1" applyAlignment="1">
      <alignment horizontal="center" vertical="center" wrapText="1"/>
    </xf>
    <xf numFmtId="0" fontId="13" fillId="0" borderId="23" xfId="0" applyFont="1" applyFill="1" applyBorder="1" applyAlignment="1">
      <alignment horizontal="center" vertical="top" wrapText="1"/>
    </xf>
    <xf numFmtId="0" fontId="34" fillId="0" borderId="2" xfId="0" applyFont="1" applyFill="1" applyBorder="1" applyAlignment="1">
      <alignment horizontal="center"/>
    </xf>
    <xf numFmtId="0" fontId="34" fillId="0" borderId="3" xfId="0" applyFont="1" applyFill="1" applyBorder="1" applyAlignment="1">
      <alignment horizontal="center"/>
    </xf>
    <xf numFmtId="0" fontId="34" fillId="0" borderId="4" xfId="0" applyFont="1" applyFill="1" applyBorder="1" applyAlignment="1">
      <alignment horizontal="center"/>
    </xf>
    <xf numFmtId="0" fontId="13" fillId="0" borderId="1" xfId="0" applyFont="1" applyFill="1" applyBorder="1" applyAlignment="1">
      <alignment horizontal="center" vertical="top"/>
    </xf>
    <xf numFmtId="0" fontId="36" fillId="0" borderId="3" xfId="0" applyFont="1" applyFill="1" applyBorder="1" applyAlignment="1">
      <alignment horizontal="left" vertical="center" wrapText="1"/>
    </xf>
    <xf numFmtId="16" fontId="13" fillId="0" borderId="30" xfId="0" applyNumberFormat="1" applyFont="1" applyFill="1" applyBorder="1" applyAlignment="1">
      <alignment horizontal="center" vertical="center" wrapText="1"/>
    </xf>
    <xf numFmtId="16" fontId="13" fillId="0" borderId="6" xfId="0" applyNumberFormat="1" applyFont="1" applyFill="1" applyBorder="1" applyAlignment="1">
      <alignment horizontal="center" vertical="center" wrapText="1"/>
    </xf>
    <xf numFmtId="16" fontId="13" fillId="0" borderId="34" xfId="0" applyNumberFormat="1" applyFont="1" applyFill="1" applyBorder="1" applyAlignment="1">
      <alignment horizontal="center" vertical="center" wrapText="1"/>
    </xf>
    <xf numFmtId="16" fontId="13" fillId="0" borderId="33"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165" fontId="13" fillId="0" borderId="13" xfId="0" applyNumberFormat="1" applyFont="1" applyFill="1" applyBorder="1" applyAlignment="1">
      <alignment horizontal="center" vertical="center" wrapText="1"/>
    </xf>
    <xf numFmtId="165" fontId="13" fillId="0" borderId="3" xfId="0" applyNumberFormat="1" applyFont="1" applyFill="1" applyBorder="1" applyAlignment="1">
      <alignment horizontal="center" vertical="center"/>
    </xf>
    <xf numFmtId="165" fontId="13" fillId="0" borderId="3" xfId="0" applyNumberFormat="1" applyFont="1" applyFill="1" applyBorder="1" applyAlignment="1">
      <alignment horizontal="center" vertical="top" wrapText="1"/>
    </xf>
    <xf numFmtId="165" fontId="14" fillId="0" borderId="3" xfId="0" applyNumberFormat="1" applyFont="1" applyFill="1" applyBorder="1" applyAlignment="1">
      <alignment horizontal="center" vertical="center"/>
    </xf>
    <xf numFmtId="16" fontId="13" fillId="0" borderId="8" xfId="0" applyNumberFormat="1" applyFont="1" applyFill="1" applyBorder="1" applyAlignment="1">
      <alignment horizontal="center" vertical="center" wrapText="1"/>
    </xf>
    <xf numFmtId="16" fontId="13" fillId="0" borderId="1" xfId="0" applyNumberFormat="1" applyFont="1" applyFill="1" applyBorder="1" applyAlignment="1">
      <alignment horizontal="center" vertical="center" wrapText="1"/>
    </xf>
    <xf numFmtId="16" fontId="13" fillId="0" borderId="14" xfId="0" applyNumberFormat="1" applyFont="1" applyFill="1" applyBorder="1" applyAlignment="1">
      <alignment horizontal="center" vertical="center" wrapText="1"/>
    </xf>
    <xf numFmtId="16" fontId="13" fillId="0" borderId="61" xfId="0" applyNumberFormat="1" applyFont="1" applyFill="1" applyBorder="1" applyAlignment="1">
      <alignment horizontal="center" vertical="center" wrapText="1"/>
    </xf>
    <xf numFmtId="16" fontId="13" fillId="0" borderId="6" xfId="0" applyNumberFormat="1" applyFont="1" applyFill="1" applyBorder="1" applyAlignment="1">
      <alignment horizontal="center" vertical="top" wrapText="1"/>
    </xf>
    <xf numFmtId="16" fontId="13" fillId="0" borderId="45" xfId="0" applyNumberFormat="1" applyFont="1" applyFill="1" applyBorder="1" applyAlignment="1">
      <alignment horizontal="center" vertical="top" wrapText="1"/>
    </xf>
    <xf numFmtId="16" fontId="13" fillId="0" borderId="46" xfId="0" applyNumberFormat="1" applyFont="1" applyFill="1" applyBorder="1" applyAlignment="1">
      <alignment horizontal="center" vertical="top" wrapText="1"/>
    </xf>
    <xf numFmtId="16" fontId="13" fillId="0" borderId="11" xfId="0" applyNumberFormat="1" applyFont="1" applyFill="1" applyBorder="1" applyAlignment="1">
      <alignment horizontal="center" vertical="top" wrapText="1"/>
    </xf>
    <xf numFmtId="16" fontId="13" fillId="0" borderId="1" xfId="0" applyNumberFormat="1" applyFont="1" applyFill="1" applyBorder="1" applyAlignment="1">
      <alignment horizontal="center" vertical="top" wrapText="1"/>
    </xf>
    <xf numFmtId="16" fontId="13" fillId="0" borderId="9" xfId="0" applyNumberFormat="1" applyFont="1" applyFill="1" applyBorder="1" applyAlignment="1">
      <alignment horizontal="center" vertical="top" wrapText="1"/>
    </xf>
    <xf numFmtId="16" fontId="13" fillId="0" borderId="12" xfId="0" applyNumberFormat="1" applyFont="1" applyFill="1" applyBorder="1" applyAlignment="1">
      <alignment horizontal="center" vertical="top" wrapText="1"/>
    </xf>
    <xf numFmtId="16" fontId="13" fillId="0" borderId="30" xfId="0" applyNumberFormat="1" applyFont="1" applyFill="1" applyBorder="1" applyAlignment="1">
      <alignment horizontal="center" vertical="top" wrapText="1"/>
    </xf>
    <xf numFmtId="16" fontId="13" fillId="0" borderId="34" xfId="0" applyNumberFormat="1" applyFont="1" applyFill="1" applyBorder="1" applyAlignment="1">
      <alignment horizontal="center" vertical="top" wrapText="1"/>
    </xf>
    <xf numFmtId="16" fontId="13" fillId="0" borderId="33" xfId="0" applyNumberFormat="1" applyFont="1" applyFill="1" applyBorder="1" applyAlignment="1">
      <alignment horizontal="center" vertical="top" wrapText="1"/>
    </xf>
    <xf numFmtId="16" fontId="13" fillId="0" borderId="64" xfId="0" applyNumberFormat="1" applyFont="1" applyFill="1" applyBorder="1" applyAlignment="1">
      <alignment horizontal="center" vertical="center" wrapText="1"/>
    </xf>
    <xf numFmtId="16" fontId="13" fillId="0" borderId="45" xfId="0" applyNumberFormat="1" applyFont="1" applyFill="1" applyBorder="1" applyAlignment="1">
      <alignment horizontal="center" vertical="center" wrapText="1"/>
    </xf>
    <xf numFmtId="16" fontId="13" fillId="0" borderId="46" xfId="0" applyNumberFormat="1" applyFont="1" applyFill="1" applyBorder="1" applyAlignment="1">
      <alignment horizontal="center" vertical="center" wrapText="1"/>
    </xf>
    <xf numFmtId="16" fontId="13" fillId="0" borderId="11" xfId="0" applyNumberFormat="1" applyFont="1" applyFill="1" applyBorder="1" applyAlignment="1">
      <alignment horizontal="center" vertical="center" wrapText="1"/>
    </xf>
    <xf numFmtId="16" fontId="13" fillId="0" borderId="9" xfId="0" applyNumberFormat="1" applyFont="1" applyFill="1" applyBorder="1" applyAlignment="1">
      <alignment horizontal="center" vertical="center" wrapText="1"/>
    </xf>
    <xf numFmtId="16" fontId="13" fillId="0" borderId="12" xfId="0" applyNumberFormat="1" applyFont="1" applyFill="1" applyBorder="1" applyAlignment="1">
      <alignment horizontal="center" vertical="center" wrapText="1"/>
    </xf>
    <xf numFmtId="165" fontId="34" fillId="0" borderId="0" xfId="0" applyNumberFormat="1" applyFont="1" applyFill="1"/>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top" wrapText="1"/>
    </xf>
    <xf numFmtId="165" fontId="13" fillId="0" borderId="8" xfId="0" applyNumberFormat="1"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6" xfId="0" applyFont="1" applyFill="1" applyBorder="1" applyAlignment="1">
      <alignment horizontal="center" vertical="top" wrapText="1"/>
    </xf>
    <xf numFmtId="165" fontId="14" fillId="0" borderId="1" xfId="0" applyNumberFormat="1" applyFont="1" applyFill="1" applyBorder="1" applyAlignment="1">
      <alignment horizontal="center" vertical="top" wrapText="1"/>
    </xf>
    <xf numFmtId="0" fontId="13" fillId="0" borderId="34" xfId="0" applyFont="1" applyFill="1" applyBorder="1" applyAlignment="1">
      <alignment horizontal="center" vertical="top" wrapText="1"/>
    </xf>
    <xf numFmtId="0" fontId="13" fillId="0" borderId="33" xfId="0" applyFont="1" applyFill="1" applyBorder="1" applyAlignment="1">
      <alignment horizontal="center" vertical="top" wrapText="1"/>
    </xf>
    <xf numFmtId="165" fontId="14" fillId="0" borderId="13" xfId="0" applyNumberFormat="1" applyFont="1" applyFill="1" applyBorder="1" applyAlignment="1">
      <alignment horizontal="center" vertical="top" wrapText="1"/>
    </xf>
    <xf numFmtId="0" fontId="13" fillId="0" borderId="67" xfId="0" applyFont="1" applyFill="1" applyBorder="1" applyAlignment="1">
      <alignment horizontal="center" vertical="top" wrapText="1"/>
    </xf>
    <xf numFmtId="165" fontId="13" fillId="0" borderId="8" xfId="0" applyNumberFormat="1" applyFont="1" applyFill="1" applyBorder="1" applyAlignment="1">
      <alignment horizontal="center" vertical="center" wrapText="1"/>
    </xf>
    <xf numFmtId="165" fontId="13" fillId="0" borderId="42" xfId="0" applyNumberFormat="1" applyFont="1" applyFill="1" applyBorder="1" applyAlignment="1">
      <alignment horizontal="center" vertical="center" wrapText="1"/>
    </xf>
    <xf numFmtId="0" fontId="13" fillId="0" borderId="55" xfId="0" applyFont="1" applyFill="1" applyBorder="1" applyAlignment="1">
      <alignment horizontal="center" vertical="top" wrapText="1"/>
    </xf>
    <xf numFmtId="0" fontId="13" fillId="0" borderId="61" xfId="0" applyFont="1" applyFill="1" applyBorder="1" applyAlignment="1">
      <alignment horizontal="center" vertical="top" wrapText="1"/>
    </xf>
    <xf numFmtId="165" fontId="13" fillId="0" borderId="5" xfId="0" applyNumberFormat="1" applyFont="1" applyFill="1" applyBorder="1" applyAlignment="1">
      <alignment horizontal="center" vertical="center" wrapText="1"/>
    </xf>
    <xf numFmtId="0" fontId="13" fillId="0" borderId="50" xfId="0" applyFont="1" applyFill="1" applyBorder="1" applyAlignment="1">
      <alignment horizontal="center" vertical="top" wrapText="1"/>
    </xf>
    <xf numFmtId="165" fontId="13" fillId="0" borderId="5" xfId="0" applyNumberFormat="1" applyFont="1" applyFill="1" applyBorder="1" applyAlignment="1">
      <alignment horizontal="center" vertical="top" wrapText="1"/>
    </xf>
    <xf numFmtId="0" fontId="13" fillId="0" borderId="64" xfId="0" applyFont="1" applyFill="1" applyBorder="1" applyAlignment="1">
      <alignment horizontal="center" vertical="top" wrapText="1"/>
    </xf>
    <xf numFmtId="165" fontId="13" fillId="0" borderId="14" xfId="0" applyNumberFormat="1" applyFont="1" applyFill="1" applyBorder="1" applyAlignment="1">
      <alignment horizontal="center" vertical="center" wrapText="1"/>
    </xf>
    <xf numFmtId="165" fontId="13" fillId="0" borderId="32" xfId="0" applyNumberFormat="1" applyFont="1" applyFill="1" applyBorder="1" applyAlignment="1">
      <alignment horizontal="center" vertical="center" wrapText="1"/>
    </xf>
    <xf numFmtId="0" fontId="13" fillId="0" borderId="56" xfId="0" applyFont="1" applyFill="1" applyBorder="1" applyAlignment="1">
      <alignment horizontal="center" vertical="top" wrapText="1"/>
    </xf>
    <xf numFmtId="0" fontId="13" fillId="0" borderId="4" xfId="0" applyFont="1" applyFill="1" applyBorder="1" applyAlignment="1">
      <alignment horizontal="center" vertical="top" wrapText="1"/>
    </xf>
    <xf numFmtId="165" fontId="13" fillId="0" borderId="4" xfId="0" applyNumberFormat="1" applyFont="1" applyFill="1" applyBorder="1" applyAlignment="1">
      <alignment horizontal="center" vertical="center" wrapText="1"/>
    </xf>
    <xf numFmtId="165" fontId="14" fillId="0" borderId="4" xfId="0" applyNumberFormat="1" applyFont="1" applyFill="1" applyBorder="1" applyAlignment="1">
      <alignment horizontal="center" vertical="center" wrapText="1"/>
    </xf>
    <xf numFmtId="165" fontId="13" fillId="0" borderId="58"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5" fontId="14" fillId="0" borderId="14" xfId="0" applyNumberFormat="1" applyFont="1" applyFill="1" applyBorder="1" applyAlignment="1">
      <alignment horizontal="center" vertical="center" wrapText="1"/>
    </xf>
    <xf numFmtId="165" fontId="13" fillId="0" borderId="4" xfId="0" applyNumberFormat="1" applyFont="1" applyFill="1" applyBorder="1" applyAlignment="1">
      <alignment horizontal="center" vertical="top" wrapText="1"/>
    </xf>
    <xf numFmtId="165" fontId="0" fillId="0" borderId="0" xfId="0" applyNumberFormat="1" applyFill="1"/>
    <xf numFmtId="165" fontId="34" fillId="0" borderId="21" xfId="0" applyNumberFormat="1" applyFont="1" applyFill="1" applyBorder="1"/>
    <xf numFmtId="165" fontId="0" fillId="0" borderId="21" xfId="0" applyNumberFormat="1" applyFill="1" applyBorder="1"/>
    <xf numFmtId="0" fontId="13" fillId="0" borderId="8" xfId="0" applyFont="1" applyFill="1" applyBorder="1" applyAlignment="1">
      <alignment vertical="top" wrapText="1"/>
    </xf>
    <xf numFmtId="0" fontId="13" fillId="0" borderId="1" xfId="0" applyFont="1" applyFill="1" applyBorder="1" applyAlignment="1">
      <alignment vertical="top" wrapText="1"/>
    </xf>
    <xf numFmtId="0" fontId="13" fillId="0" borderId="2" xfId="0" applyFont="1" applyFill="1" applyBorder="1" applyAlignment="1">
      <alignment vertical="top" wrapText="1"/>
    </xf>
    <xf numFmtId="0" fontId="13" fillId="0" borderId="14" xfId="0" applyFont="1" applyFill="1" applyBorder="1" applyAlignment="1">
      <alignment vertical="top"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36" fillId="0" borderId="1" xfId="0" applyFont="1" applyFill="1" applyBorder="1" applyAlignment="1">
      <alignment horizontal="center" vertical="top" wrapText="1"/>
    </xf>
    <xf numFmtId="0" fontId="14" fillId="0" borderId="1" xfId="0" quotePrefix="1" applyFont="1" applyFill="1" applyBorder="1" applyAlignment="1">
      <alignment horizontal="center" vertical="top" wrapText="1"/>
    </xf>
    <xf numFmtId="165" fontId="14" fillId="0" borderId="1" xfId="0" quotePrefix="1" applyNumberFormat="1" applyFont="1" applyFill="1" applyBorder="1" applyAlignment="1">
      <alignment horizontal="center" vertical="center" wrapText="1"/>
    </xf>
    <xf numFmtId="0" fontId="14" fillId="0" borderId="56" xfId="0" applyFont="1" applyFill="1" applyBorder="1" applyAlignment="1">
      <alignment horizontal="center" vertical="center"/>
    </xf>
    <xf numFmtId="0" fontId="13" fillId="0" borderId="63" xfId="0" applyFont="1" applyFill="1" applyBorder="1" applyAlignment="1">
      <alignment horizontal="left"/>
    </xf>
    <xf numFmtId="0" fontId="13" fillId="0" borderId="22" xfId="0" applyFont="1" applyFill="1" applyBorder="1" applyAlignment="1">
      <alignment horizontal="left"/>
    </xf>
    <xf numFmtId="0" fontId="13" fillId="0" borderId="75" xfId="0" applyFont="1" applyFill="1" applyBorder="1" applyAlignment="1">
      <alignment horizontal="left"/>
    </xf>
    <xf numFmtId="0" fontId="14" fillId="0" borderId="65"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66" xfId="0" applyFont="1" applyFill="1" applyBorder="1" applyAlignment="1">
      <alignment horizontal="center" vertical="center" wrapText="1"/>
    </xf>
    <xf numFmtId="16" fontId="13" fillId="0" borderId="8" xfId="0" applyNumberFormat="1"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3" xfId="0" applyFont="1" applyFill="1" applyBorder="1" applyAlignment="1">
      <alignment horizontal="center" vertical="top" wrapText="1"/>
    </xf>
    <xf numFmtId="0" fontId="13" fillId="0" borderId="9" xfId="0" applyFont="1" applyFill="1" applyBorder="1" applyAlignment="1">
      <alignment horizontal="center" vertical="top" wrapText="1"/>
    </xf>
    <xf numFmtId="165" fontId="13" fillId="0" borderId="10" xfId="0" applyNumberFormat="1" applyFont="1" applyFill="1" applyBorder="1" applyAlignment="1">
      <alignment horizontal="center" vertical="center"/>
    </xf>
    <xf numFmtId="0" fontId="36" fillId="0" borderId="13" xfId="0" applyFont="1" applyFill="1" applyBorder="1" applyAlignment="1">
      <alignment horizontal="center" vertical="top" wrapText="1"/>
    </xf>
    <xf numFmtId="16" fontId="13" fillId="0" borderId="42" xfId="0" applyNumberFormat="1" applyFont="1" applyFill="1" applyBorder="1" applyAlignment="1">
      <alignment horizontal="center" vertical="top" wrapText="1"/>
    </xf>
    <xf numFmtId="0" fontId="13" fillId="0" borderId="15" xfId="0" applyFont="1" applyFill="1" applyBorder="1" applyAlignment="1">
      <alignment horizontal="center" vertical="center"/>
    </xf>
    <xf numFmtId="165" fontId="13" fillId="0" borderId="16" xfId="0" applyNumberFormat="1" applyFont="1" applyFill="1" applyBorder="1" applyAlignment="1">
      <alignment horizontal="center" vertical="center"/>
    </xf>
    <xf numFmtId="0" fontId="13" fillId="0" borderId="45"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17" xfId="0" applyFont="1" applyFill="1" applyBorder="1" applyAlignment="1">
      <alignment horizontal="center" vertical="center"/>
    </xf>
    <xf numFmtId="165" fontId="13" fillId="0" borderId="18" xfId="0" applyNumberFormat="1" applyFont="1" applyFill="1" applyBorder="1" applyAlignment="1">
      <alignment horizontal="center" vertical="center"/>
    </xf>
    <xf numFmtId="0" fontId="13" fillId="0" borderId="46" xfId="0" applyFont="1" applyFill="1" applyBorder="1" applyAlignment="1">
      <alignment horizontal="center" vertical="top" wrapText="1"/>
    </xf>
    <xf numFmtId="0" fontId="13" fillId="0" borderId="17" xfId="0" applyFont="1" applyFill="1" applyBorder="1" applyAlignment="1">
      <alignment horizontal="center" vertical="top" wrapText="1"/>
    </xf>
    <xf numFmtId="0" fontId="36" fillId="0" borderId="5" xfId="0" applyFont="1" applyFill="1" applyBorder="1" applyAlignment="1">
      <alignment horizontal="center" vertical="top" wrapText="1"/>
    </xf>
    <xf numFmtId="0" fontId="36" fillId="0" borderId="32" xfId="0" applyFont="1" applyFill="1" applyBorder="1" applyAlignment="1">
      <alignment horizontal="center" vertical="top" wrapText="1"/>
    </xf>
    <xf numFmtId="0" fontId="36" fillId="0" borderId="60" xfId="0" applyFont="1" applyFill="1" applyBorder="1" applyAlignment="1">
      <alignment horizontal="center" vertical="top" wrapText="1"/>
    </xf>
    <xf numFmtId="0" fontId="36" fillId="0" borderId="53" xfId="0" applyFont="1" applyFill="1" applyBorder="1" applyAlignment="1">
      <alignment horizontal="center" vertical="top" wrapText="1"/>
    </xf>
    <xf numFmtId="0" fontId="13" fillId="0" borderId="19" xfId="0" applyFont="1" applyFill="1" applyBorder="1" applyAlignment="1">
      <alignment horizontal="center" vertical="top" wrapText="1"/>
    </xf>
    <xf numFmtId="165" fontId="13" fillId="0" borderId="20" xfId="0" applyNumberFormat="1" applyFont="1" applyFill="1" applyBorder="1" applyAlignment="1">
      <alignment horizontal="center" vertical="center"/>
    </xf>
    <xf numFmtId="0" fontId="13" fillId="0" borderId="12" xfId="0" applyFont="1" applyFill="1" applyBorder="1" applyAlignment="1">
      <alignment horizontal="center" vertical="top" wrapText="1"/>
    </xf>
    <xf numFmtId="16" fontId="13" fillId="0" borderId="46" xfId="0" applyNumberFormat="1" applyFont="1" applyFill="1" applyBorder="1" applyAlignment="1">
      <alignment vertical="center" wrapText="1"/>
    </xf>
    <xf numFmtId="0" fontId="14" fillId="0" borderId="60" xfId="0" applyFont="1" applyFill="1" applyBorder="1" applyAlignment="1">
      <alignment horizontal="center" vertical="center" wrapText="1"/>
    </xf>
    <xf numFmtId="0" fontId="14" fillId="0" borderId="46" xfId="0" applyFont="1" applyFill="1" applyBorder="1" applyAlignment="1">
      <alignment horizontal="center" vertical="center" wrapText="1"/>
    </xf>
    <xf numFmtId="165" fontId="14" fillId="0" borderId="3" xfId="0" applyNumberFormat="1" applyFont="1" applyFill="1" applyBorder="1" applyAlignment="1">
      <alignment horizontal="center" vertical="center" wrapText="1"/>
    </xf>
    <xf numFmtId="165" fontId="14" fillId="0" borderId="48" xfId="0" applyNumberFormat="1" applyFont="1" applyFill="1" applyBorder="1" applyAlignment="1">
      <alignment horizontal="center" vertical="center" wrapText="1"/>
    </xf>
    <xf numFmtId="0" fontId="13" fillId="0" borderId="51" xfId="0" applyFont="1" applyFill="1" applyBorder="1" applyAlignment="1">
      <alignment vertical="top" wrapText="1"/>
    </xf>
    <xf numFmtId="0" fontId="13" fillId="0" borderId="3" xfId="0" applyFont="1" applyFill="1" applyBorder="1" applyAlignment="1">
      <alignment vertical="top" wrapText="1"/>
    </xf>
    <xf numFmtId="0" fontId="13" fillId="0" borderId="2" xfId="0" applyFont="1" applyFill="1" applyBorder="1" applyAlignment="1">
      <alignment horizontal="center"/>
    </xf>
    <xf numFmtId="0" fontId="14" fillId="0" borderId="54" xfId="0" applyFont="1" applyFill="1" applyBorder="1" applyAlignment="1">
      <alignment horizontal="center" vertical="center"/>
    </xf>
    <xf numFmtId="0" fontId="14" fillId="0" borderId="6" xfId="0" applyFont="1" applyFill="1" applyBorder="1" applyAlignment="1">
      <alignment horizontal="right" vertical="top"/>
    </xf>
    <xf numFmtId="165" fontId="14" fillId="0" borderId="5" xfId="0" applyNumberFormat="1" applyFont="1" applyFill="1" applyBorder="1" applyAlignment="1">
      <alignment horizontal="center" vertical="top" wrapText="1"/>
    </xf>
    <xf numFmtId="0" fontId="13" fillId="0" borderId="1" xfId="0" applyFont="1" applyFill="1" applyBorder="1" applyAlignment="1">
      <alignment horizontal="center" vertical="top"/>
    </xf>
    <xf numFmtId="0" fontId="13" fillId="0" borderId="3" xfId="0" applyFont="1" applyFill="1" applyBorder="1" applyAlignment="1">
      <alignment horizontal="center"/>
    </xf>
    <xf numFmtId="0" fontId="14" fillId="0" borderId="1" xfId="0" applyFont="1" applyFill="1" applyBorder="1" applyAlignment="1">
      <alignment horizontal="center" vertical="top"/>
    </xf>
    <xf numFmtId="165" fontId="14" fillId="0" borderId="4" xfId="0" applyNumberFormat="1" applyFont="1" applyFill="1" applyBorder="1" applyAlignment="1">
      <alignment horizontal="center" vertical="top" wrapText="1"/>
    </xf>
    <xf numFmtId="0" fontId="14" fillId="0" borderId="6" xfId="0" applyFont="1" applyFill="1" applyBorder="1"/>
    <xf numFmtId="0" fontId="14" fillId="0" borderId="1" xfId="0" applyFont="1" applyFill="1" applyBorder="1" applyAlignment="1">
      <alignment horizontal="center"/>
    </xf>
    <xf numFmtId="165" fontId="14" fillId="0" borderId="58" xfId="0" applyNumberFormat="1" applyFont="1" applyFill="1" applyBorder="1" applyAlignment="1">
      <alignment horizontal="center" vertical="top" wrapText="1"/>
    </xf>
    <xf numFmtId="0" fontId="14" fillId="0" borderId="2" xfId="0" applyFont="1" applyFill="1" applyBorder="1" applyAlignment="1">
      <alignment horizontal="center"/>
    </xf>
    <xf numFmtId="165" fontId="14" fillId="0" borderId="2" xfId="0" applyNumberFormat="1" applyFont="1" applyFill="1" applyBorder="1" applyAlignment="1">
      <alignment horizontal="center" vertical="top" wrapText="1"/>
    </xf>
    <xf numFmtId="165" fontId="14" fillId="0" borderId="57" xfId="0" applyNumberFormat="1" applyFont="1" applyFill="1" applyBorder="1" applyAlignment="1">
      <alignment horizontal="center" vertical="top" wrapText="1"/>
    </xf>
    <xf numFmtId="0" fontId="14" fillId="0" borderId="72" xfId="0" applyFont="1" applyFill="1" applyBorder="1" applyAlignment="1">
      <alignment horizontal="center" vertical="center"/>
    </xf>
    <xf numFmtId="0" fontId="14" fillId="0" borderId="40" xfId="0" applyFont="1" applyFill="1" applyBorder="1"/>
    <xf numFmtId="0" fontId="14" fillId="0" borderId="61" xfId="0" applyFont="1" applyFill="1" applyBorder="1" applyAlignment="1">
      <alignment horizontal="center"/>
    </xf>
    <xf numFmtId="0" fontId="13" fillId="0" borderId="2" xfId="0" applyFont="1" applyFill="1" applyBorder="1" applyAlignment="1">
      <alignment horizontal="center" vertical="top"/>
    </xf>
    <xf numFmtId="0" fontId="14" fillId="0" borderId="74" xfId="0" applyFont="1" applyFill="1" applyBorder="1" applyAlignment="1">
      <alignment horizontal="right" vertical="top"/>
    </xf>
    <xf numFmtId="0" fontId="14" fillId="0" borderId="15" xfId="0" applyFont="1" applyFill="1" applyBorder="1" applyAlignment="1">
      <alignment horizontal="center" vertical="center" wrapText="1"/>
    </xf>
    <xf numFmtId="165" fontId="14" fillId="0" borderId="8" xfId="0" applyNumberFormat="1" applyFont="1" applyFill="1" applyBorder="1" applyAlignment="1">
      <alignment horizontal="center"/>
    </xf>
    <xf numFmtId="165" fontId="14" fillId="0" borderId="42" xfId="0" applyNumberFormat="1" applyFont="1" applyFill="1" applyBorder="1" applyAlignment="1">
      <alignment horizontal="center"/>
    </xf>
    <xf numFmtId="0" fontId="3" fillId="0" borderId="0" xfId="0" applyFont="1" applyFill="1" applyAlignment="1">
      <alignment horizontal="center"/>
    </xf>
    <xf numFmtId="0" fontId="7" fillId="0" borderId="0" xfId="0" applyFont="1" applyFill="1" applyAlignment="1">
      <alignment horizontal="center" vertical="center"/>
    </xf>
    <xf numFmtId="0" fontId="2" fillId="0" borderId="0" xfId="0" applyFont="1" applyFill="1" applyAlignment="1">
      <alignment horizontal="right" vertical="top"/>
    </xf>
    <xf numFmtId="165" fontId="7" fillId="0" borderId="0" xfId="0" applyNumberFormat="1" applyFont="1" applyFill="1"/>
    <xf numFmtId="165" fontId="2" fillId="0" borderId="0" xfId="0" applyNumberFormat="1" applyFont="1" applyFill="1"/>
    <xf numFmtId="0" fontId="3" fillId="0" borderId="0" xfId="0" applyFont="1" applyFill="1" applyAlignment="1">
      <alignment horizontal="center" vertical="top"/>
    </xf>
    <xf numFmtId="0" fontId="12" fillId="0" borderId="0" xfId="0" applyFont="1" applyFill="1" applyAlignment="1">
      <alignment horizontal="left" vertical="top" wrapText="1"/>
    </xf>
    <xf numFmtId="0" fontId="4" fillId="0" borderId="0" xfId="0" applyFont="1" applyFill="1" applyAlignment="1">
      <alignment horizontal="left" vertical="top" wrapText="1"/>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4" fillId="0" borderId="0" xfId="0" applyFont="1" applyFill="1" applyAlignment="1">
      <alignment vertical="center"/>
    </xf>
    <xf numFmtId="0" fontId="6" fillId="0" borderId="0" xfId="0" applyFont="1" applyFill="1" applyAlignment="1">
      <alignment horizontal="center" vertical="center"/>
    </xf>
    <xf numFmtId="0" fontId="4" fillId="0" borderId="0" xfId="0" applyFont="1" applyFill="1"/>
    <xf numFmtId="0" fontId="5" fillId="0" borderId="0" xfId="0" applyFont="1" applyFill="1" applyAlignment="1">
      <alignment vertical="center"/>
    </xf>
    <xf numFmtId="0" fontId="5" fillId="0" borderId="0" xfId="0" applyFont="1" applyFill="1" applyAlignment="1">
      <alignment horizontal="center" vertical="center"/>
    </xf>
    <xf numFmtId="0" fontId="9" fillId="0" borderId="0" xfId="0" applyFont="1" applyFill="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73"/>
  <sheetViews>
    <sheetView tabSelected="1" defaultGridColor="0" view="pageBreakPreview" topLeftCell="A940" colorId="24" zoomScale="90" zoomScaleNormal="90" zoomScaleSheetLayoutView="90" workbookViewId="0">
      <selection activeCell="D947" sqref="D947"/>
    </sheetView>
  </sheetViews>
  <sheetFormatPr defaultRowHeight="18.75" x14ac:dyDescent="0.3"/>
  <cols>
    <col min="1" max="1" width="5.42578125" style="58" customWidth="1"/>
    <col min="2" max="2" width="71.140625" style="369" customWidth="1"/>
    <col min="3" max="3" width="21" style="58" hidden="1" customWidth="1"/>
    <col min="4" max="4" width="15" style="58" customWidth="1"/>
    <col min="5" max="5" width="18.28515625" style="58" customWidth="1"/>
    <col min="6" max="6" width="13" style="58" customWidth="1"/>
    <col min="7" max="7" width="16.5703125" style="58" customWidth="1"/>
    <col min="8" max="8" width="15.28515625" style="58" customWidth="1"/>
    <col min="9" max="9" width="14.28515625" style="58" customWidth="1"/>
    <col min="10" max="10" width="15.140625" style="58" customWidth="1"/>
    <col min="11" max="11" width="33.28515625" style="58" customWidth="1"/>
    <col min="12" max="12" width="30.28515625" style="58" customWidth="1"/>
    <col min="13" max="13" width="20.42578125" style="58" customWidth="1"/>
    <col min="14" max="14" width="25.140625" style="58" customWidth="1"/>
    <col min="15" max="16384" width="9.140625" style="58"/>
  </cols>
  <sheetData>
    <row r="1" spans="1:13" ht="21" x14ac:dyDescent="0.35">
      <c r="A1" s="51"/>
      <c r="B1" s="52"/>
      <c r="C1" s="53">
        <v>0</v>
      </c>
      <c r="D1" s="54" t="s">
        <v>349</v>
      </c>
      <c r="E1" s="54"/>
      <c r="F1" s="54"/>
      <c r="G1" s="54"/>
      <c r="H1" s="54"/>
      <c r="I1" s="54"/>
      <c r="J1" s="54"/>
      <c r="K1" s="55"/>
      <c r="L1" s="56" t="s">
        <v>13</v>
      </c>
      <c r="M1" s="57"/>
    </row>
    <row r="2" spans="1:13" ht="21" x14ac:dyDescent="0.35">
      <c r="A2" s="59"/>
      <c r="B2" s="60"/>
      <c r="C2" s="61"/>
      <c r="D2" s="62"/>
      <c r="E2" s="62"/>
      <c r="F2" s="62"/>
      <c r="G2" s="62"/>
      <c r="H2" s="62"/>
      <c r="I2" s="62"/>
      <c r="J2" s="62"/>
      <c r="K2" s="63"/>
      <c r="L2" s="64" t="s">
        <v>14</v>
      </c>
      <c r="M2" s="57"/>
    </row>
    <row r="3" spans="1:13" ht="33.75" customHeight="1" thickBot="1" x14ac:dyDescent="0.4">
      <c r="A3" s="59"/>
      <c r="B3" s="60"/>
      <c r="C3" s="61"/>
      <c r="D3" s="65"/>
      <c r="E3" s="65"/>
      <c r="F3" s="65"/>
      <c r="G3" s="65"/>
      <c r="H3" s="65"/>
      <c r="I3" s="65"/>
      <c r="J3" s="65"/>
      <c r="K3" s="63"/>
      <c r="L3" s="64" t="s">
        <v>350</v>
      </c>
      <c r="M3" s="57"/>
    </row>
    <row r="4" spans="1:13" ht="20.25" thickBot="1" x14ac:dyDescent="0.3">
      <c r="A4" s="66" t="s">
        <v>216</v>
      </c>
      <c r="B4" s="67" t="s">
        <v>0</v>
      </c>
      <c r="C4" s="68"/>
      <c r="D4" s="69" t="s">
        <v>178</v>
      </c>
      <c r="E4" s="70" t="s">
        <v>342</v>
      </c>
      <c r="F4" s="71" t="s">
        <v>188</v>
      </c>
      <c r="G4" s="72"/>
      <c r="H4" s="72"/>
      <c r="I4" s="72"/>
      <c r="J4" s="73"/>
      <c r="K4" s="69" t="s">
        <v>1</v>
      </c>
      <c r="L4" s="74" t="s">
        <v>289</v>
      </c>
      <c r="M4" s="57"/>
    </row>
    <row r="5" spans="1:13" ht="19.5" x14ac:dyDescent="0.25">
      <c r="A5" s="75"/>
      <c r="B5" s="76"/>
      <c r="C5" s="77"/>
      <c r="D5" s="78"/>
      <c r="E5" s="79"/>
      <c r="F5" s="66" t="s">
        <v>215</v>
      </c>
      <c r="G5" s="80" t="s">
        <v>329</v>
      </c>
      <c r="H5" s="80" t="s">
        <v>4</v>
      </c>
      <c r="I5" s="80" t="s">
        <v>343</v>
      </c>
      <c r="J5" s="80" t="s">
        <v>15</v>
      </c>
      <c r="K5" s="78"/>
      <c r="L5" s="81"/>
      <c r="M5" s="57"/>
    </row>
    <row r="6" spans="1:13" ht="134.25" customHeight="1" x14ac:dyDescent="0.25">
      <c r="A6" s="82"/>
      <c r="B6" s="83"/>
      <c r="C6" s="84"/>
      <c r="D6" s="85"/>
      <c r="E6" s="79"/>
      <c r="F6" s="82"/>
      <c r="G6" s="82"/>
      <c r="H6" s="82"/>
      <c r="I6" s="82"/>
      <c r="J6" s="82"/>
      <c r="K6" s="85"/>
      <c r="L6" s="86"/>
      <c r="M6" s="57"/>
    </row>
    <row r="7" spans="1:13" ht="19.5" x14ac:dyDescent="0.3">
      <c r="A7" s="87">
        <v>1</v>
      </c>
      <c r="B7" s="87">
        <v>2</v>
      </c>
      <c r="C7" s="87"/>
      <c r="D7" s="87">
        <v>3</v>
      </c>
      <c r="E7" s="87">
        <v>4</v>
      </c>
      <c r="F7" s="87">
        <v>5</v>
      </c>
      <c r="G7" s="87">
        <v>6</v>
      </c>
      <c r="H7" s="87">
        <v>7</v>
      </c>
      <c r="I7" s="87">
        <v>8</v>
      </c>
      <c r="J7" s="87">
        <v>9</v>
      </c>
      <c r="K7" s="87">
        <v>10</v>
      </c>
      <c r="L7" s="87">
        <v>11</v>
      </c>
      <c r="M7" s="57"/>
    </row>
    <row r="8" spans="1:13" ht="19.5" x14ac:dyDescent="0.3">
      <c r="A8" s="88" t="s">
        <v>2</v>
      </c>
      <c r="B8" s="89" t="s">
        <v>333</v>
      </c>
      <c r="C8" s="90"/>
      <c r="D8" s="90"/>
      <c r="E8" s="90"/>
      <c r="F8" s="90"/>
      <c r="G8" s="90"/>
      <c r="H8" s="90"/>
      <c r="I8" s="90"/>
      <c r="J8" s="90"/>
      <c r="K8" s="90"/>
      <c r="L8" s="91"/>
      <c r="M8" s="57"/>
    </row>
    <row r="9" spans="1:13" ht="20.25" thickBot="1" x14ac:dyDescent="0.35">
      <c r="A9" s="92"/>
      <c r="B9" s="93" t="s">
        <v>334</v>
      </c>
      <c r="C9" s="94"/>
      <c r="D9" s="94"/>
      <c r="E9" s="94"/>
      <c r="F9" s="94"/>
      <c r="G9" s="94"/>
      <c r="H9" s="94"/>
      <c r="I9" s="94"/>
      <c r="J9" s="94"/>
      <c r="K9" s="94"/>
      <c r="L9" s="95"/>
      <c r="M9" s="57"/>
    </row>
    <row r="10" spans="1:13" ht="21.75" customHeight="1" x14ac:dyDescent="0.25">
      <c r="A10" s="96" t="s">
        <v>3</v>
      </c>
      <c r="B10" s="97"/>
      <c r="C10" s="97"/>
      <c r="D10" s="97"/>
      <c r="E10" s="97"/>
      <c r="F10" s="97"/>
      <c r="G10" s="97"/>
      <c r="H10" s="97"/>
      <c r="I10" s="97"/>
      <c r="J10" s="97"/>
      <c r="K10" s="97"/>
      <c r="L10" s="98"/>
      <c r="M10" s="57"/>
    </row>
    <row r="11" spans="1:13" ht="26.1" customHeight="1" x14ac:dyDescent="0.25">
      <c r="A11" s="20" t="s">
        <v>10</v>
      </c>
      <c r="B11" s="99" t="s">
        <v>9</v>
      </c>
      <c r="C11" s="100"/>
      <c r="D11" s="101">
        <v>2018</v>
      </c>
      <c r="E11" s="102">
        <f>F11+G11+H11+J11</f>
        <v>6000</v>
      </c>
      <c r="F11" s="102">
        <v>0</v>
      </c>
      <c r="G11" s="102">
        <v>3000</v>
      </c>
      <c r="H11" s="102">
        <v>3000</v>
      </c>
      <c r="I11" s="102">
        <v>3000</v>
      </c>
      <c r="J11" s="102">
        <v>0</v>
      </c>
      <c r="K11" s="103" t="s">
        <v>5</v>
      </c>
      <c r="L11" s="103" t="s">
        <v>6</v>
      </c>
      <c r="M11" s="57"/>
    </row>
    <row r="12" spans="1:13" ht="26.1" customHeight="1" x14ac:dyDescent="0.25">
      <c r="A12" s="20"/>
      <c r="B12" s="99"/>
      <c r="C12" s="100"/>
      <c r="D12" s="101">
        <v>2019</v>
      </c>
      <c r="E12" s="102">
        <f t="shared" ref="E12:E30" si="0">F12+G12+H12+J12</f>
        <v>6000</v>
      </c>
      <c r="F12" s="102">
        <v>0</v>
      </c>
      <c r="G12" s="102">
        <v>3000</v>
      </c>
      <c r="H12" s="102">
        <v>3000</v>
      </c>
      <c r="I12" s="102">
        <v>3000</v>
      </c>
      <c r="J12" s="102">
        <v>0</v>
      </c>
      <c r="K12" s="103"/>
      <c r="L12" s="103"/>
      <c r="M12" s="57"/>
    </row>
    <row r="13" spans="1:13" ht="26.1" customHeight="1" x14ac:dyDescent="0.25">
      <c r="A13" s="20"/>
      <c r="B13" s="99"/>
      <c r="C13" s="100"/>
      <c r="D13" s="104">
        <v>2020</v>
      </c>
      <c r="E13" s="102">
        <f t="shared" si="0"/>
        <v>0</v>
      </c>
      <c r="F13" s="105">
        <v>0</v>
      </c>
      <c r="G13" s="102">
        <v>0</v>
      </c>
      <c r="H13" s="102">
        <v>0</v>
      </c>
      <c r="I13" s="102">
        <v>0</v>
      </c>
      <c r="J13" s="102">
        <v>0</v>
      </c>
      <c r="K13" s="103"/>
      <c r="L13" s="103"/>
      <c r="M13" s="57"/>
    </row>
    <row r="14" spans="1:13" ht="26.1" customHeight="1" x14ac:dyDescent="0.25">
      <c r="A14" s="20"/>
      <c r="B14" s="99"/>
      <c r="C14" s="100"/>
      <c r="D14" s="104">
        <v>2021</v>
      </c>
      <c r="E14" s="102">
        <f t="shared" si="0"/>
        <v>0</v>
      </c>
      <c r="F14" s="105">
        <v>0</v>
      </c>
      <c r="G14" s="102">
        <v>0</v>
      </c>
      <c r="H14" s="102">
        <v>0</v>
      </c>
      <c r="I14" s="102">
        <v>0</v>
      </c>
      <c r="J14" s="102">
        <v>0</v>
      </c>
      <c r="K14" s="103"/>
      <c r="L14" s="103"/>
      <c r="M14" s="57"/>
    </row>
    <row r="15" spans="1:13" ht="26.1" customHeight="1" x14ac:dyDescent="0.25">
      <c r="A15" s="20"/>
      <c r="B15" s="99"/>
      <c r="C15" s="100"/>
      <c r="D15" s="104">
        <v>2022</v>
      </c>
      <c r="E15" s="102">
        <f t="shared" si="0"/>
        <v>0</v>
      </c>
      <c r="F15" s="105">
        <v>0</v>
      </c>
      <c r="G15" s="102">
        <v>0</v>
      </c>
      <c r="H15" s="102">
        <v>0</v>
      </c>
      <c r="I15" s="102">
        <v>0</v>
      </c>
      <c r="J15" s="102">
        <v>0</v>
      </c>
      <c r="K15" s="103"/>
      <c r="L15" s="103"/>
      <c r="M15" s="57"/>
    </row>
    <row r="16" spans="1:13" ht="26.1" customHeight="1" x14ac:dyDescent="0.25">
      <c r="A16" s="20"/>
      <c r="B16" s="99"/>
      <c r="C16" s="100"/>
      <c r="D16" s="104">
        <v>2023</v>
      </c>
      <c r="E16" s="102">
        <f t="shared" si="0"/>
        <v>0</v>
      </c>
      <c r="F16" s="105">
        <v>0</v>
      </c>
      <c r="G16" s="102">
        <v>0</v>
      </c>
      <c r="H16" s="102">
        <f>I16</f>
        <v>0</v>
      </c>
      <c r="I16" s="102">
        <v>0</v>
      </c>
      <c r="J16" s="102">
        <v>0</v>
      </c>
      <c r="K16" s="103"/>
      <c r="L16" s="103"/>
      <c r="M16" s="57"/>
    </row>
    <row r="17" spans="1:13" ht="26.1" customHeight="1" x14ac:dyDescent="0.25">
      <c r="A17" s="20"/>
      <c r="B17" s="99"/>
      <c r="C17" s="100"/>
      <c r="D17" s="104">
        <v>2024</v>
      </c>
      <c r="E17" s="102">
        <f t="shared" si="0"/>
        <v>0</v>
      </c>
      <c r="F17" s="105">
        <v>0</v>
      </c>
      <c r="G17" s="102">
        <v>0</v>
      </c>
      <c r="H17" s="102">
        <f>I17</f>
        <v>0</v>
      </c>
      <c r="I17" s="102">
        <v>0</v>
      </c>
      <c r="J17" s="102">
        <v>0</v>
      </c>
      <c r="K17" s="103"/>
      <c r="L17" s="103"/>
      <c r="M17" s="57"/>
    </row>
    <row r="18" spans="1:13" ht="26.1" customHeight="1" x14ac:dyDescent="0.25">
      <c r="A18" s="20"/>
      <c r="B18" s="99"/>
      <c r="C18" s="100"/>
      <c r="D18" s="104">
        <v>2025</v>
      </c>
      <c r="E18" s="102">
        <f t="shared" si="0"/>
        <v>0</v>
      </c>
      <c r="F18" s="105">
        <v>0</v>
      </c>
      <c r="G18" s="102">
        <v>0</v>
      </c>
      <c r="H18" s="102">
        <v>0</v>
      </c>
      <c r="I18" s="102">
        <v>0</v>
      </c>
      <c r="J18" s="102">
        <v>0</v>
      </c>
      <c r="K18" s="103"/>
      <c r="L18" s="103"/>
      <c r="M18" s="57"/>
    </row>
    <row r="19" spans="1:13" ht="26.1" customHeight="1" x14ac:dyDescent="0.25">
      <c r="A19" s="22"/>
      <c r="B19" s="106"/>
      <c r="C19" s="107"/>
      <c r="D19" s="108">
        <v>2026</v>
      </c>
      <c r="E19" s="102">
        <f t="shared" ref="E19" si="1">F19+G19+H19+J19</f>
        <v>0</v>
      </c>
      <c r="F19" s="102">
        <v>0</v>
      </c>
      <c r="G19" s="102">
        <v>0</v>
      </c>
      <c r="H19" s="102">
        <v>0</v>
      </c>
      <c r="I19" s="102">
        <v>0</v>
      </c>
      <c r="J19" s="102">
        <v>0</v>
      </c>
      <c r="K19" s="109"/>
      <c r="L19" s="109"/>
      <c r="M19" s="57"/>
    </row>
    <row r="20" spans="1:13" ht="26.1" customHeight="1" thickBot="1" x14ac:dyDescent="0.3">
      <c r="A20" s="34"/>
      <c r="B20" s="110"/>
      <c r="C20" s="111"/>
      <c r="D20" s="112">
        <v>2027</v>
      </c>
      <c r="E20" s="113">
        <f t="shared" si="0"/>
        <v>0</v>
      </c>
      <c r="F20" s="113">
        <v>0</v>
      </c>
      <c r="G20" s="113">
        <v>0</v>
      </c>
      <c r="H20" s="113">
        <v>0</v>
      </c>
      <c r="I20" s="113">
        <v>0</v>
      </c>
      <c r="J20" s="113">
        <v>0</v>
      </c>
      <c r="K20" s="114"/>
      <c r="L20" s="114"/>
      <c r="M20" s="57"/>
    </row>
    <row r="21" spans="1:13" ht="19.5" x14ac:dyDescent="0.25">
      <c r="A21" s="19" t="s">
        <v>11</v>
      </c>
      <c r="B21" s="115" t="s">
        <v>23</v>
      </c>
      <c r="C21" s="116"/>
      <c r="D21" s="117">
        <v>2018</v>
      </c>
      <c r="E21" s="118">
        <f t="shared" si="0"/>
        <v>0</v>
      </c>
      <c r="F21" s="118">
        <v>0</v>
      </c>
      <c r="G21" s="118">
        <v>0</v>
      </c>
      <c r="H21" s="118">
        <v>0</v>
      </c>
      <c r="I21" s="118">
        <v>0</v>
      </c>
      <c r="J21" s="118">
        <v>0</v>
      </c>
      <c r="K21" s="119" t="s">
        <v>7</v>
      </c>
      <c r="L21" s="119" t="s">
        <v>6</v>
      </c>
      <c r="M21" s="57"/>
    </row>
    <row r="22" spans="1:13" ht="19.5" x14ac:dyDescent="0.25">
      <c r="A22" s="20"/>
      <c r="B22" s="99"/>
      <c r="C22" s="100"/>
      <c r="D22" s="101">
        <v>2019</v>
      </c>
      <c r="E22" s="102">
        <f t="shared" si="0"/>
        <v>0</v>
      </c>
      <c r="F22" s="102">
        <v>0</v>
      </c>
      <c r="G22" s="102">
        <v>0</v>
      </c>
      <c r="H22" s="102">
        <v>0</v>
      </c>
      <c r="I22" s="102">
        <v>0</v>
      </c>
      <c r="J22" s="102">
        <v>0</v>
      </c>
      <c r="K22" s="103"/>
      <c r="L22" s="103"/>
      <c r="M22" s="57"/>
    </row>
    <row r="23" spans="1:13" ht="19.5" x14ac:dyDescent="0.25">
      <c r="A23" s="20"/>
      <c r="B23" s="99"/>
      <c r="C23" s="100"/>
      <c r="D23" s="104">
        <v>2020</v>
      </c>
      <c r="E23" s="102">
        <f>F23+G23+H23+J23</f>
        <v>6750</v>
      </c>
      <c r="F23" s="120">
        <v>0</v>
      </c>
      <c r="G23" s="102">
        <v>5700</v>
      </c>
      <c r="H23" s="102">
        <v>1050</v>
      </c>
      <c r="I23" s="102">
        <v>300</v>
      </c>
      <c r="J23" s="102">
        <v>0</v>
      </c>
      <c r="K23" s="103"/>
      <c r="L23" s="103"/>
      <c r="M23" s="57"/>
    </row>
    <row r="24" spans="1:13" ht="26.1" customHeight="1" x14ac:dyDescent="0.25">
      <c r="A24" s="20"/>
      <c r="B24" s="99"/>
      <c r="C24" s="100"/>
      <c r="D24" s="104">
        <v>2021</v>
      </c>
      <c r="E24" s="102">
        <f t="shared" si="0"/>
        <v>7200</v>
      </c>
      <c r="F24" s="120">
        <v>0</v>
      </c>
      <c r="G24" s="102">
        <v>5700</v>
      </c>
      <c r="H24" s="102">
        <v>1500</v>
      </c>
      <c r="I24" s="102">
        <v>300</v>
      </c>
      <c r="J24" s="102">
        <v>0</v>
      </c>
      <c r="K24" s="103"/>
      <c r="L24" s="103"/>
      <c r="M24" s="57"/>
    </row>
    <row r="25" spans="1:13" ht="26.1" customHeight="1" x14ac:dyDescent="0.25">
      <c r="A25" s="20"/>
      <c r="B25" s="99"/>
      <c r="C25" s="100"/>
      <c r="D25" s="104">
        <v>2022</v>
      </c>
      <c r="E25" s="102">
        <f t="shared" si="0"/>
        <v>0</v>
      </c>
      <c r="F25" s="120">
        <v>0</v>
      </c>
      <c r="G25" s="102">
        <v>0</v>
      </c>
      <c r="H25" s="102">
        <v>0</v>
      </c>
      <c r="I25" s="102">
        <v>0</v>
      </c>
      <c r="J25" s="102">
        <v>0</v>
      </c>
      <c r="K25" s="103"/>
      <c r="L25" s="103"/>
      <c r="M25" s="57"/>
    </row>
    <row r="26" spans="1:13" ht="26.1" customHeight="1" x14ac:dyDescent="0.25">
      <c r="A26" s="20"/>
      <c r="B26" s="99"/>
      <c r="C26" s="100"/>
      <c r="D26" s="104">
        <v>2023</v>
      </c>
      <c r="E26" s="102">
        <f t="shared" si="0"/>
        <v>0</v>
      </c>
      <c r="F26" s="120">
        <v>0</v>
      </c>
      <c r="G26" s="102">
        <v>0</v>
      </c>
      <c r="H26" s="102">
        <f>I26</f>
        <v>0</v>
      </c>
      <c r="I26" s="102">
        <v>0</v>
      </c>
      <c r="J26" s="102">
        <v>0</v>
      </c>
      <c r="K26" s="103"/>
      <c r="L26" s="103"/>
      <c r="M26" s="57"/>
    </row>
    <row r="27" spans="1:13" ht="26.1" customHeight="1" x14ac:dyDescent="0.25">
      <c r="A27" s="20"/>
      <c r="B27" s="99"/>
      <c r="C27" s="100"/>
      <c r="D27" s="104">
        <v>2024</v>
      </c>
      <c r="E27" s="102">
        <f>F27+G27+H27+J27</f>
        <v>0</v>
      </c>
      <c r="F27" s="120">
        <v>0</v>
      </c>
      <c r="G27" s="102">
        <v>0</v>
      </c>
      <c r="H27" s="121">
        <f>I27</f>
        <v>0</v>
      </c>
      <c r="I27" s="102">
        <v>0</v>
      </c>
      <c r="J27" s="102">
        <v>0</v>
      </c>
      <c r="K27" s="103"/>
      <c r="L27" s="103"/>
      <c r="M27" s="57"/>
    </row>
    <row r="28" spans="1:13" ht="26.1" customHeight="1" x14ac:dyDescent="0.25">
      <c r="A28" s="20"/>
      <c r="B28" s="99"/>
      <c r="C28" s="100"/>
      <c r="D28" s="104">
        <v>2025</v>
      </c>
      <c r="E28" s="102">
        <f t="shared" si="0"/>
        <v>0</v>
      </c>
      <c r="F28" s="120">
        <v>0</v>
      </c>
      <c r="G28" s="102">
        <v>0</v>
      </c>
      <c r="H28" s="121">
        <f>I28</f>
        <v>0</v>
      </c>
      <c r="I28" s="102">
        <v>0</v>
      </c>
      <c r="J28" s="102">
        <v>0</v>
      </c>
      <c r="K28" s="103"/>
      <c r="L28" s="103"/>
      <c r="M28" s="57"/>
    </row>
    <row r="29" spans="1:13" ht="26.1" customHeight="1" x14ac:dyDescent="0.25">
      <c r="A29" s="22"/>
      <c r="B29" s="106"/>
      <c r="C29" s="107"/>
      <c r="D29" s="108">
        <v>2026</v>
      </c>
      <c r="E29" s="102">
        <f t="shared" ref="E29" si="2">F29+G29+H29+J29</f>
        <v>0</v>
      </c>
      <c r="F29" s="120">
        <v>0</v>
      </c>
      <c r="G29" s="102">
        <v>0</v>
      </c>
      <c r="H29" s="121">
        <v>0</v>
      </c>
      <c r="I29" s="102">
        <v>0</v>
      </c>
      <c r="J29" s="102">
        <v>0</v>
      </c>
      <c r="K29" s="109"/>
      <c r="L29" s="109"/>
      <c r="M29" s="57"/>
    </row>
    <row r="30" spans="1:13" ht="26.1" customHeight="1" thickBot="1" x14ac:dyDescent="0.3">
      <c r="A30" s="34"/>
      <c r="B30" s="110"/>
      <c r="C30" s="111"/>
      <c r="D30" s="122">
        <v>2027</v>
      </c>
      <c r="E30" s="113">
        <f t="shared" si="0"/>
        <v>0</v>
      </c>
      <c r="F30" s="123">
        <v>0</v>
      </c>
      <c r="G30" s="113">
        <v>0</v>
      </c>
      <c r="H30" s="124">
        <v>0</v>
      </c>
      <c r="I30" s="113">
        <v>0</v>
      </c>
      <c r="J30" s="113">
        <v>0</v>
      </c>
      <c r="K30" s="114"/>
      <c r="L30" s="114"/>
      <c r="M30" s="57"/>
    </row>
    <row r="31" spans="1:13" ht="18.75" customHeight="1" x14ac:dyDescent="0.3">
      <c r="A31" s="35"/>
      <c r="B31" s="125"/>
      <c r="C31" s="126"/>
      <c r="D31" s="127" t="s">
        <v>8</v>
      </c>
      <c r="E31" s="128">
        <f>F31+G31+H31+J31</f>
        <v>25950</v>
      </c>
      <c r="F31" s="128">
        <f>SUM(F11:F30)</f>
        <v>0</v>
      </c>
      <c r="G31" s="128">
        <f>SUM(G11:G30)</f>
        <v>17400</v>
      </c>
      <c r="H31" s="128">
        <f t="shared" ref="H31:J31" si="3">SUM(H11:H30)</f>
        <v>8550</v>
      </c>
      <c r="I31" s="128">
        <f t="shared" si="3"/>
        <v>6600</v>
      </c>
      <c r="J31" s="129">
        <f t="shared" si="3"/>
        <v>0</v>
      </c>
      <c r="K31" s="130"/>
      <c r="L31" s="131"/>
      <c r="M31" s="57"/>
    </row>
    <row r="32" spans="1:13" ht="19.5" x14ac:dyDescent="0.3">
      <c r="A32" s="88" t="s">
        <v>12</v>
      </c>
      <c r="B32" s="132" t="s">
        <v>335</v>
      </c>
      <c r="C32" s="133"/>
      <c r="D32" s="133"/>
      <c r="E32" s="133"/>
      <c r="F32" s="133"/>
      <c r="G32" s="133"/>
      <c r="H32" s="133"/>
      <c r="I32" s="133"/>
      <c r="J32" s="133"/>
      <c r="K32" s="133"/>
      <c r="L32" s="134"/>
      <c r="M32" s="57"/>
    </row>
    <row r="33" spans="1:23" ht="37.5" customHeight="1" thickBot="1" x14ac:dyDescent="0.35">
      <c r="A33" s="92"/>
      <c r="B33" s="135" t="s">
        <v>336</v>
      </c>
      <c r="C33" s="136"/>
      <c r="D33" s="136"/>
      <c r="E33" s="136"/>
      <c r="F33" s="136"/>
      <c r="G33" s="136"/>
      <c r="H33" s="136"/>
      <c r="I33" s="136"/>
      <c r="J33" s="136"/>
      <c r="K33" s="136"/>
      <c r="L33" s="137"/>
      <c r="M33" s="57"/>
    </row>
    <row r="34" spans="1:23" ht="20.25" thickBot="1" x14ac:dyDescent="0.3">
      <c r="A34" s="138" t="s">
        <v>24</v>
      </c>
      <c r="B34" s="139"/>
      <c r="C34" s="139"/>
      <c r="D34" s="139"/>
      <c r="E34" s="139"/>
      <c r="F34" s="139"/>
      <c r="G34" s="139"/>
      <c r="H34" s="139"/>
      <c r="I34" s="139"/>
      <c r="J34" s="139"/>
      <c r="K34" s="139"/>
      <c r="L34" s="140"/>
      <c r="M34" s="57"/>
    </row>
    <row r="35" spans="1:23" s="147" customFormat="1" ht="23.45" customHeight="1" x14ac:dyDescent="0.25">
      <c r="A35" s="16" t="s">
        <v>25</v>
      </c>
      <c r="B35" s="141" t="s">
        <v>27</v>
      </c>
      <c r="C35" s="142"/>
      <c r="D35" s="143">
        <v>2018</v>
      </c>
      <c r="E35" s="144">
        <f>F35+G35+H35+J35</f>
        <v>295.2</v>
      </c>
      <c r="F35" s="144">
        <v>0</v>
      </c>
      <c r="G35" s="144">
        <v>0</v>
      </c>
      <c r="H35" s="144">
        <v>295.2</v>
      </c>
      <c r="I35" s="144">
        <v>0</v>
      </c>
      <c r="J35" s="144">
        <v>0</v>
      </c>
      <c r="K35" s="145" t="s">
        <v>30</v>
      </c>
      <c r="L35" s="146" t="s">
        <v>31</v>
      </c>
      <c r="M35" s="57"/>
      <c r="N35" s="58"/>
      <c r="O35" s="58"/>
      <c r="P35" s="58"/>
      <c r="Q35" s="58"/>
      <c r="R35" s="58"/>
      <c r="S35" s="58"/>
      <c r="T35" s="58"/>
      <c r="U35" s="58"/>
      <c r="V35" s="58"/>
      <c r="W35" s="58"/>
    </row>
    <row r="36" spans="1:23" ht="23.45" customHeight="1" x14ac:dyDescent="0.25">
      <c r="A36" s="17"/>
      <c r="B36" s="99"/>
      <c r="C36" s="148"/>
      <c r="D36" s="101">
        <v>2019</v>
      </c>
      <c r="E36" s="102">
        <f>F36+G36+H36+J36</f>
        <v>180.4</v>
      </c>
      <c r="F36" s="102">
        <v>0</v>
      </c>
      <c r="G36" s="102">
        <v>0</v>
      </c>
      <c r="H36" s="102">
        <v>180.4</v>
      </c>
      <c r="I36" s="102">
        <v>0</v>
      </c>
      <c r="J36" s="102">
        <v>0</v>
      </c>
      <c r="K36" s="103"/>
      <c r="L36" s="149"/>
      <c r="M36" s="150"/>
    </row>
    <row r="37" spans="1:23" ht="23.45" customHeight="1" x14ac:dyDescent="0.25">
      <c r="A37" s="17"/>
      <c r="B37" s="99"/>
      <c r="C37" s="148"/>
      <c r="D37" s="104">
        <v>2020</v>
      </c>
      <c r="E37" s="102">
        <f t="shared" ref="E37:E54" si="4">F37+G37+H37+J37</f>
        <v>0</v>
      </c>
      <c r="F37" s="120">
        <v>0</v>
      </c>
      <c r="G37" s="102">
        <v>0</v>
      </c>
      <c r="H37" s="102">
        <v>0</v>
      </c>
      <c r="I37" s="102">
        <v>0</v>
      </c>
      <c r="J37" s="102">
        <v>0</v>
      </c>
      <c r="K37" s="103"/>
      <c r="L37" s="149"/>
      <c r="M37" s="57"/>
    </row>
    <row r="38" spans="1:23" ht="23.45" customHeight="1" x14ac:dyDescent="0.25">
      <c r="A38" s="17"/>
      <c r="B38" s="99"/>
      <c r="C38" s="151"/>
      <c r="D38" s="104">
        <v>2021</v>
      </c>
      <c r="E38" s="102">
        <f t="shared" si="4"/>
        <v>0</v>
      </c>
      <c r="F38" s="120">
        <v>0</v>
      </c>
      <c r="G38" s="102">
        <v>0</v>
      </c>
      <c r="H38" s="102">
        <v>0</v>
      </c>
      <c r="I38" s="102">
        <v>0</v>
      </c>
      <c r="J38" s="102">
        <v>0</v>
      </c>
      <c r="K38" s="103"/>
      <c r="L38" s="149"/>
      <c r="M38" s="57"/>
    </row>
    <row r="39" spans="1:23" ht="23.45" customHeight="1" x14ac:dyDescent="0.25">
      <c r="A39" s="17"/>
      <c r="B39" s="99"/>
      <c r="C39" s="151"/>
      <c r="D39" s="104">
        <v>2022</v>
      </c>
      <c r="E39" s="102">
        <f t="shared" si="4"/>
        <v>0</v>
      </c>
      <c r="F39" s="120">
        <v>0</v>
      </c>
      <c r="G39" s="102">
        <v>0</v>
      </c>
      <c r="H39" s="102">
        <v>0</v>
      </c>
      <c r="I39" s="102">
        <v>0</v>
      </c>
      <c r="J39" s="102">
        <v>0</v>
      </c>
      <c r="K39" s="103"/>
      <c r="L39" s="149"/>
      <c r="M39" s="57"/>
    </row>
    <row r="40" spans="1:23" ht="23.45" customHeight="1" x14ac:dyDescent="0.25">
      <c r="A40" s="17"/>
      <c r="B40" s="99"/>
      <c r="C40" s="151"/>
      <c r="D40" s="104">
        <v>2023</v>
      </c>
      <c r="E40" s="102">
        <f t="shared" si="4"/>
        <v>0</v>
      </c>
      <c r="F40" s="120">
        <v>0</v>
      </c>
      <c r="G40" s="102">
        <v>0</v>
      </c>
      <c r="H40" s="102">
        <v>0</v>
      </c>
      <c r="I40" s="102">
        <v>0</v>
      </c>
      <c r="J40" s="102">
        <v>0</v>
      </c>
      <c r="K40" s="103"/>
      <c r="L40" s="149"/>
      <c r="M40" s="57"/>
    </row>
    <row r="41" spans="1:23" ht="23.45" customHeight="1" x14ac:dyDescent="0.25">
      <c r="A41" s="17"/>
      <c r="B41" s="99"/>
      <c r="C41" s="151"/>
      <c r="D41" s="104">
        <v>2024</v>
      </c>
      <c r="E41" s="102">
        <f t="shared" si="4"/>
        <v>0</v>
      </c>
      <c r="F41" s="120">
        <v>0</v>
      </c>
      <c r="G41" s="102">
        <v>0</v>
      </c>
      <c r="H41" s="121">
        <f>200-200</f>
        <v>0</v>
      </c>
      <c r="I41" s="102">
        <v>0</v>
      </c>
      <c r="J41" s="102">
        <v>0</v>
      </c>
      <c r="K41" s="103"/>
      <c r="L41" s="149"/>
      <c r="M41" s="57"/>
    </row>
    <row r="42" spans="1:23" s="152" customFormat="1" ht="23.45" customHeight="1" thickBot="1" x14ac:dyDescent="0.3">
      <c r="A42" s="17"/>
      <c r="B42" s="99"/>
      <c r="C42" s="151"/>
      <c r="D42" s="104">
        <v>2025</v>
      </c>
      <c r="E42" s="102">
        <f t="shared" si="4"/>
        <v>200</v>
      </c>
      <c r="F42" s="120">
        <v>0</v>
      </c>
      <c r="G42" s="102">
        <v>0</v>
      </c>
      <c r="H42" s="121">
        <v>200</v>
      </c>
      <c r="I42" s="102">
        <v>0</v>
      </c>
      <c r="J42" s="102">
        <v>0</v>
      </c>
      <c r="K42" s="103"/>
      <c r="L42" s="149"/>
      <c r="M42" s="57"/>
      <c r="N42" s="58"/>
      <c r="O42" s="58"/>
    </row>
    <row r="43" spans="1:23" ht="23.45" customHeight="1" x14ac:dyDescent="0.25">
      <c r="A43" s="36"/>
      <c r="B43" s="106"/>
      <c r="C43" s="153"/>
      <c r="D43" s="108">
        <v>2026</v>
      </c>
      <c r="E43" s="154">
        <v>200</v>
      </c>
      <c r="F43" s="120">
        <v>0</v>
      </c>
      <c r="G43" s="102">
        <v>0</v>
      </c>
      <c r="H43" s="155">
        <v>200</v>
      </c>
      <c r="I43" s="102">
        <v>0</v>
      </c>
      <c r="J43" s="102">
        <v>0</v>
      </c>
      <c r="K43" s="109"/>
      <c r="L43" s="156"/>
      <c r="M43" s="57"/>
    </row>
    <row r="44" spans="1:23" ht="23.45" customHeight="1" thickBot="1" x14ac:dyDescent="0.3">
      <c r="A44" s="36"/>
      <c r="B44" s="106"/>
      <c r="C44" s="153"/>
      <c r="D44" s="108">
        <v>2027</v>
      </c>
      <c r="E44" s="154">
        <f t="shared" si="4"/>
        <v>200</v>
      </c>
      <c r="F44" s="157">
        <v>0</v>
      </c>
      <c r="G44" s="154">
        <v>0</v>
      </c>
      <c r="H44" s="155">
        <v>200</v>
      </c>
      <c r="I44" s="154">
        <v>0</v>
      </c>
      <c r="J44" s="154">
        <v>0</v>
      </c>
      <c r="K44" s="109"/>
      <c r="L44" s="156"/>
      <c r="M44" s="57"/>
    </row>
    <row r="45" spans="1:23" ht="23.45" customHeight="1" x14ac:dyDescent="0.25">
      <c r="A45" s="16" t="s">
        <v>26</v>
      </c>
      <c r="B45" s="141" t="s">
        <v>28</v>
      </c>
      <c r="C45" s="142"/>
      <c r="D45" s="143">
        <v>2018</v>
      </c>
      <c r="E45" s="144">
        <f t="shared" si="4"/>
        <v>245.1</v>
      </c>
      <c r="F45" s="144">
        <v>0</v>
      </c>
      <c r="G45" s="144">
        <v>0</v>
      </c>
      <c r="H45" s="144">
        <v>245.1</v>
      </c>
      <c r="I45" s="144">
        <v>0</v>
      </c>
      <c r="J45" s="144">
        <v>0</v>
      </c>
      <c r="K45" s="145" t="s">
        <v>29</v>
      </c>
      <c r="L45" s="146" t="s">
        <v>31</v>
      </c>
      <c r="M45" s="57"/>
    </row>
    <row r="46" spans="1:23" ht="23.45" customHeight="1" x14ac:dyDescent="0.25">
      <c r="A46" s="17"/>
      <c r="B46" s="99"/>
      <c r="C46" s="148"/>
      <c r="D46" s="101">
        <v>2019</v>
      </c>
      <c r="E46" s="102">
        <f t="shared" si="4"/>
        <v>244.3</v>
      </c>
      <c r="F46" s="102">
        <v>0</v>
      </c>
      <c r="G46" s="102">
        <v>0</v>
      </c>
      <c r="H46" s="102">
        <v>244.3</v>
      </c>
      <c r="I46" s="102">
        <v>0</v>
      </c>
      <c r="J46" s="102">
        <v>0</v>
      </c>
      <c r="K46" s="103"/>
      <c r="L46" s="149"/>
      <c r="M46" s="57"/>
    </row>
    <row r="47" spans="1:23" ht="23.45" customHeight="1" x14ac:dyDescent="0.25">
      <c r="A47" s="17"/>
      <c r="B47" s="99"/>
      <c r="C47" s="148"/>
      <c r="D47" s="104">
        <v>2020</v>
      </c>
      <c r="E47" s="102">
        <f t="shared" si="4"/>
        <v>0</v>
      </c>
      <c r="F47" s="120">
        <v>0</v>
      </c>
      <c r="G47" s="102">
        <v>0</v>
      </c>
      <c r="H47" s="102">
        <v>0</v>
      </c>
      <c r="I47" s="102">
        <v>0</v>
      </c>
      <c r="J47" s="102">
        <v>0</v>
      </c>
      <c r="K47" s="103"/>
      <c r="L47" s="149"/>
      <c r="M47" s="57"/>
    </row>
    <row r="48" spans="1:23" ht="23.45" customHeight="1" x14ac:dyDescent="0.25">
      <c r="A48" s="17"/>
      <c r="B48" s="99"/>
      <c r="C48" s="151"/>
      <c r="D48" s="104">
        <v>2021</v>
      </c>
      <c r="E48" s="102">
        <f t="shared" si="4"/>
        <v>300</v>
      </c>
      <c r="F48" s="120">
        <v>0</v>
      </c>
      <c r="G48" s="102">
        <v>0</v>
      </c>
      <c r="H48" s="102">
        <v>300</v>
      </c>
      <c r="I48" s="102">
        <v>0</v>
      </c>
      <c r="J48" s="102">
        <v>0</v>
      </c>
      <c r="K48" s="103"/>
      <c r="L48" s="149"/>
      <c r="M48" s="57"/>
    </row>
    <row r="49" spans="1:13" ht="23.45" customHeight="1" x14ac:dyDescent="0.25">
      <c r="A49" s="17"/>
      <c r="B49" s="99"/>
      <c r="C49" s="151"/>
      <c r="D49" s="104">
        <v>2022</v>
      </c>
      <c r="E49" s="102">
        <f t="shared" si="4"/>
        <v>300</v>
      </c>
      <c r="F49" s="120">
        <v>0</v>
      </c>
      <c r="G49" s="102">
        <v>0</v>
      </c>
      <c r="H49" s="102">
        <v>300</v>
      </c>
      <c r="I49" s="102">
        <v>0</v>
      </c>
      <c r="J49" s="102">
        <v>0</v>
      </c>
      <c r="K49" s="103"/>
      <c r="L49" s="149"/>
      <c r="M49" s="57"/>
    </row>
    <row r="50" spans="1:13" ht="23.45" customHeight="1" x14ac:dyDescent="0.25">
      <c r="A50" s="17"/>
      <c r="B50" s="99"/>
      <c r="C50" s="151"/>
      <c r="D50" s="104">
        <v>2023</v>
      </c>
      <c r="E50" s="102">
        <f t="shared" si="4"/>
        <v>188</v>
      </c>
      <c r="F50" s="120">
        <v>0</v>
      </c>
      <c r="G50" s="102">
        <v>0</v>
      </c>
      <c r="H50" s="102">
        <f>200-6.3-5.7</f>
        <v>188</v>
      </c>
      <c r="I50" s="102">
        <v>0</v>
      </c>
      <c r="J50" s="102">
        <v>0</v>
      </c>
      <c r="K50" s="103"/>
      <c r="L50" s="149"/>
      <c r="M50" s="57"/>
    </row>
    <row r="51" spans="1:13" ht="23.45" customHeight="1" x14ac:dyDescent="0.25">
      <c r="A51" s="17"/>
      <c r="B51" s="99"/>
      <c r="C51" s="151"/>
      <c r="D51" s="104">
        <v>2024</v>
      </c>
      <c r="E51" s="102">
        <f t="shared" si="4"/>
        <v>280</v>
      </c>
      <c r="F51" s="120">
        <v>0</v>
      </c>
      <c r="G51" s="102">
        <v>0</v>
      </c>
      <c r="H51" s="121">
        <f>400-120</f>
        <v>280</v>
      </c>
      <c r="I51" s="102">
        <v>0</v>
      </c>
      <c r="J51" s="102">
        <v>0</v>
      </c>
      <c r="K51" s="103"/>
      <c r="L51" s="149"/>
      <c r="M51" s="57"/>
    </row>
    <row r="52" spans="1:13" ht="23.45" customHeight="1" x14ac:dyDescent="0.25">
      <c r="A52" s="17"/>
      <c r="B52" s="99"/>
      <c r="C52" s="151"/>
      <c r="D52" s="104">
        <v>2025</v>
      </c>
      <c r="E52" s="102">
        <f t="shared" si="4"/>
        <v>400</v>
      </c>
      <c r="F52" s="120">
        <v>0</v>
      </c>
      <c r="G52" s="102">
        <v>0</v>
      </c>
      <c r="H52" s="121">
        <v>400</v>
      </c>
      <c r="I52" s="102">
        <v>0</v>
      </c>
      <c r="J52" s="102">
        <v>0</v>
      </c>
      <c r="K52" s="103"/>
      <c r="L52" s="149"/>
      <c r="M52" s="57"/>
    </row>
    <row r="53" spans="1:13" ht="23.45" customHeight="1" x14ac:dyDescent="0.25">
      <c r="A53" s="36"/>
      <c r="B53" s="106"/>
      <c r="C53" s="153"/>
      <c r="D53" s="104">
        <v>2026</v>
      </c>
      <c r="E53" s="102">
        <f t="shared" ref="E53" si="5">F53+G53+H53+J53</f>
        <v>400</v>
      </c>
      <c r="F53" s="120">
        <v>0</v>
      </c>
      <c r="G53" s="102">
        <v>0</v>
      </c>
      <c r="H53" s="121">
        <v>400</v>
      </c>
      <c r="I53" s="102">
        <v>0</v>
      </c>
      <c r="J53" s="102">
        <v>0</v>
      </c>
      <c r="K53" s="109"/>
      <c r="L53" s="156"/>
      <c r="M53" s="57"/>
    </row>
    <row r="54" spans="1:13" ht="23.45" customHeight="1" thickBot="1" x14ac:dyDescent="0.3">
      <c r="A54" s="18"/>
      <c r="B54" s="110"/>
      <c r="C54" s="158"/>
      <c r="D54" s="159">
        <v>2027</v>
      </c>
      <c r="E54" s="113">
        <f t="shared" si="4"/>
        <v>400</v>
      </c>
      <c r="F54" s="123">
        <v>0</v>
      </c>
      <c r="G54" s="113">
        <v>0</v>
      </c>
      <c r="H54" s="124">
        <v>400</v>
      </c>
      <c r="I54" s="113">
        <v>0</v>
      </c>
      <c r="J54" s="113">
        <v>0</v>
      </c>
      <c r="K54" s="114"/>
      <c r="L54" s="160"/>
      <c r="M54" s="57"/>
    </row>
    <row r="55" spans="1:13" s="170" customFormat="1" ht="23.45" customHeight="1" thickBot="1" x14ac:dyDescent="0.35">
      <c r="A55" s="161"/>
      <c r="B55" s="162"/>
      <c r="C55" s="163"/>
      <c r="D55" s="164" t="s">
        <v>8</v>
      </c>
      <c r="E55" s="165">
        <f>SUM(F55:J55)</f>
        <v>3833</v>
      </c>
      <c r="F55" s="165">
        <f>F35+F36+F37+F38+F39+F40+F41+F42+F45+F46+F47+F48+F49+F50+F51+F52+F44+F54</f>
        <v>0</v>
      </c>
      <c r="G55" s="165">
        <f>G35+G36+G37+G38+G39+G40+G41+G42+G45+G46+G47+G48+G49+G50+G51+G52+G44+G54</f>
        <v>0</v>
      </c>
      <c r="H55" s="165">
        <f>H35+H36+H37+H38+H39+H40+H41+H42+H45+H46+H47+H48+H49+H50+H51+H52+H44+H54+H43+H53</f>
        <v>3833</v>
      </c>
      <c r="I55" s="165">
        <f>I35+I36+I37+I38+I39+I40+I41+I42+I45+I46+I47+I48+I49+I50+I51+I52+I44+I54</f>
        <v>0</v>
      </c>
      <c r="J55" s="166">
        <f>J35+J36+J37+J38+J39+J40+J41+J42+J45+J46+J47+J48+J49+J50+J51+J52+J44+J54</f>
        <v>0</v>
      </c>
      <c r="K55" s="167"/>
      <c r="L55" s="168"/>
      <c r="M55" s="169"/>
    </row>
    <row r="56" spans="1:13" ht="36.75" customHeight="1" x14ac:dyDescent="0.3">
      <c r="A56" s="96" t="s">
        <v>32</v>
      </c>
      <c r="B56" s="171" t="s">
        <v>337</v>
      </c>
      <c r="C56" s="172"/>
      <c r="D56" s="172"/>
      <c r="E56" s="172"/>
      <c r="F56" s="172"/>
      <c r="G56" s="172"/>
      <c r="H56" s="172"/>
      <c r="I56" s="172"/>
      <c r="J56" s="172"/>
      <c r="K56" s="172"/>
      <c r="L56" s="173"/>
      <c r="M56" s="57"/>
    </row>
    <row r="57" spans="1:13" ht="20.25" thickBot="1" x14ac:dyDescent="0.35">
      <c r="A57" s="92"/>
      <c r="B57" s="93" t="s">
        <v>338</v>
      </c>
      <c r="C57" s="94"/>
      <c r="D57" s="94"/>
      <c r="E57" s="94"/>
      <c r="F57" s="94"/>
      <c r="G57" s="94"/>
      <c r="H57" s="94"/>
      <c r="I57" s="94"/>
      <c r="J57" s="94"/>
      <c r="K57" s="94"/>
      <c r="L57" s="95"/>
      <c r="M57" s="57"/>
    </row>
    <row r="58" spans="1:13" ht="26.25" customHeight="1" thickBot="1" x14ac:dyDescent="0.3">
      <c r="A58" s="174" t="s">
        <v>330</v>
      </c>
      <c r="B58" s="175"/>
      <c r="C58" s="175"/>
      <c r="D58" s="175"/>
      <c r="E58" s="175"/>
      <c r="F58" s="175"/>
      <c r="G58" s="175"/>
      <c r="H58" s="175"/>
      <c r="I58" s="175"/>
      <c r="J58" s="175"/>
      <c r="K58" s="175"/>
      <c r="L58" s="176"/>
      <c r="M58" s="57"/>
    </row>
    <row r="59" spans="1:13" ht="23.45" customHeight="1" x14ac:dyDescent="0.25">
      <c r="A59" s="37" t="s">
        <v>34</v>
      </c>
      <c r="B59" s="177" t="s">
        <v>33</v>
      </c>
      <c r="C59" s="142"/>
      <c r="D59" s="143">
        <v>2018</v>
      </c>
      <c r="E59" s="144">
        <f>F59+G59+H59+J59</f>
        <v>110.4</v>
      </c>
      <c r="F59" s="144">
        <v>0</v>
      </c>
      <c r="G59" s="144">
        <v>0</v>
      </c>
      <c r="H59" s="144">
        <v>110.4</v>
      </c>
      <c r="I59" s="144">
        <v>0</v>
      </c>
      <c r="J59" s="144">
        <v>0</v>
      </c>
      <c r="K59" s="178" t="s">
        <v>35</v>
      </c>
      <c r="L59" s="179" t="s">
        <v>31</v>
      </c>
      <c r="M59" s="57"/>
    </row>
    <row r="60" spans="1:13" ht="23.45" customHeight="1" x14ac:dyDescent="0.25">
      <c r="A60" s="38"/>
      <c r="B60" s="180"/>
      <c r="C60" s="148"/>
      <c r="D60" s="101">
        <v>2019</v>
      </c>
      <c r="E60" s="102">
        <f t="shared" ref="E60:E68" si="6">F60+G60+H60+J60</f>
        <v>110.4</v>
      </c>
      <c r="F60" s="102">
        <v>0</v>
      </c>
      <c r="G60" s="102">
        <v>0</v>
      </c>
      <c r="H60" s="102">
        <v>110.4</v>
      </c>
      <c r="I60" s="102">
        <v>0</v>
      </c>
      <c r="J60" s="102">
        <v>0</v>
      </c>
      <c r="K60" s="181"/>
      <c r="L60" s="182"/>
      <c r="M60" s="57"/>
    </row>
    <row r="61" spans="1:13" ht="23.45" customHeight="1" x14ac:dyDescent="0.25">
      <c r="A61" s="38"/>
      <c r="B61" s="180"/>
      <c r="C61" s="148"/>
      <c r="D61" s="104">
        <v>2020</v>
      </c>
      <c r="E61" s="102">
        <f t="shared" si="6"/>
        <v>110.4</v>
      </c>
      <c r="F61" s="120">
        <v>0</v>
      </c>
      <c r="G61" s="102">
        <v>0</v>
      </c>
      <c r="H61" s="102">
        <v>110.4</v>
      </c>
      <c r="I61" s="102">
        <v>0</v>
      </c>
      <c r="J61" s="102">
        <v>0</v>
      </c>
      <c r="K61" s="181"/>
      <c r="L61" s="182"/>
      <c r="M61" s="57"/>
    </row>
    <row r="62" spans="1:13" ht="23.45" customHeight="1" x14ac:dyDescent="0.25">
      <c r="A62" s="38"/>
      <c r="B62" s="180"/>
      <c r="C62" s="151"/>
      <c r="D62" s="104">
        <v>2021</v>
      </c>
      <c r="E62" s="102">
        <f t="shared" si="6"/>
        <v>110.4</v>
      </c>
      <c r="F62" s="120">
        <v>0</v>
      </c>
      <c r="G62" s="102">
        <v>0</v>
      </c>
      <c r="H62" s="102">
        <v>110.4</v>
      </c>
      <c r="I62" s="102">
        <v>0</v>
      </c>
      <c r="J62" s="102">
        <v>0</v>
      </c>
      <c r="K62" s="181"/>
      <c r="L62" s="182"/>
      <c r="M62" s="57"/>
    </row>
    <row r="63" spans="1:13" ht="23.45" customHeight="1" x14ac:dyDescent="0.25">
      <c r="A63" s="38"/>
      <c r="B63" s="180"/>
      <c r="C63" s="151"/>
      <c r="D63" s="104">
        <v>2022</v>
      </c>
      <c r="E63" s="102">
        <f t="shared" si="6"/>
        <v>110.4</v>
      </c>
      <c r="F63" s="120">
        <v>0</v>
      </c>
      <c r="G63" s="102">
        <v>0</v>
      </c>
      <c r="H63" s="102">
        <v>110.4</v>
      </c>
      <c r="I63" s="102">
        <v>0</v>
      </c>
      <c r="J63" s="102">
        <v>0</v>
      </c>
      <c r="K63" s="181"/>
      <c r="L63" s="182"/>
      <c r="M63" s="57"/>
    </row>
    <row r="64" spans="1:13" ht="23.45" customHeight="1" x14ac:dyDescent="0.25">
      <c r="A64" s="38"/>
      <c r="B64" s="180"/>
      <c r="C64" s="151"/>
      <c r="D64" s="104">
        <v>2023</v>
      </c>
      <c r="E64" s="102">
        <f t="shared" si="6"/>
        <v>200</v>
      </c>
      <c r="F64" s="120">
        <v>0</v>
      </c>
      <c r="G64" s="102">
        <v>0</v>
      </c>
      <c r="H64" s="102">
        <v>200</v>
      </c>
      <c r="I64" s="102">
        <v>0</v>
      </c>
      <c r="J64" s="102">
        <v>0</v>
      </c>
      <c r="K64" s="181"/>
      <c r="L64" s="182"/>
      <c r="M64" s="57"/>
    </row>
    <row r="65" spans="1:13" ht="23.45" customHeight="1" x14ac:dyDescent="0.25">
      <c r="A65" s="38"/>
      <c r="B65" s="180"/>
      <c r="C65" s="151"/>
      <c r="D65" s="104">
        <v>2024</v>
      </c>
      <c r="E65" s="102">
        <f t="shared" si="6"/>
        <v>320</v>
      </c>
      <c r="F65" s="120">
        <v>0</v>
      </c>
      <c r="G65" s="102">
        <v>0</v>
      </c>
      <c r="H65" s="121">
        <f>200+120</f>
        <v>320</v>
      </c>
      <c r="I65" s="102">
        <v>0</v>
      </c>
      <c r="J65" s="102">
        <v>0</v>
      </c>
      <c r="K65" s="181"/>
      <c r="L65" s="182"/>
      <c r="M65" s="57"/>
    </row>
    <row r="66" spans="1:13" ht="23.45" customHeight="1" x14ac:dyDescent="0.25">
      <c r="A66" s="38"/>
      <c r="B66" s="180"/>
      <c r="C66" s="151"/>
      <c r="D66" s="104">
        <v>2025</v>
      </c>
      <c r="E66" s="102">
        <f t="shared" si="6"/>
        <v>200</v>
      </c>
      <c r="F66" s="120">
        <v>0</v>
      </c>
      <c r="G66" s="102">
        <v>0</v>
      </c>
      <c r="H66" s="121">
        <v>200</v>
      </c>
      <c r="I66" s="102">
        <v>0</v>
      </c>
      <c r="J66" s="102">
        <v>0</v>
      </c>
      <c r="K66" s="181"/>
      <c r="L66" s="182"/>
      <c r="M66" s="57"/>
    </row>
    <row r="67" spans="1:13" ht="23.45" customHeight="1" x14ac:dyDescent="0.25">
      <c r="A67" s="38"/>
      <c r="B67" s="180"/>
      <c r="C67" s="153"/>
      <c r="D67" s="104">
        <v>2026</v>
      </c>
      <c r="E67" s="102">
        <f t="shared" ref="E67" si="7">F67+G67+H67+J67</f>
        <v>200</v>
      </c>
      <c r="F67" s="120">
        <v>0</v>
      </c>
      <c r="G67" s="102">
        <v>0</v>
      </c>
      <c r="H67" s="121">
        <v>200</v>
      </c>
      <c r="I67" s="102">
        <v>0</v>
      </c>
      <c r="J67" s="102">
        <v>0</v>
      </c>
      <c r="K67" s="181"/>
      <c r="L67" s="182"/>
      <c r="M67" s="57"/>
    </row>
    <row r="68" spans="1:13" ht="23.45" customHeight="1" thickBot="1" x14ac:dyDescent="0.3">
      <c r="A68" s="39"/>
      <c r="B68" s="183"/>
      <c r="C68" s="158"/>
      <c r="D68" s="159">
        <v>2027</v>
      </c>
      <c r="E68" s="113">
        <f t="shared" si="6"/>
        <v>200</v>
      </c>
      <c r="F68" s="123">
        <v>0</v>
      </c>
      <c r="G68" s="113">
        <v>0</v>
      </c>
      <c r="H68" s="124">
        <v>200</v>
      </c>
      <c r="I68" s="113">
        <v>0</v>
      </c>
      <c r="J68" s="113">
        <v>0</v>
      </c>
      <c r="K68" s="184"/>
      <c r="L68" s="185"/>
      <c r="M68" s="57"/>
    </row>
    <row r="69" spans="1:13" ht="23.45" customHeight="1" thickBot="1" x14ac:dyDescent="0.35">
      <c r="A69" s="186"/>
      <c r="B69" s="187"/>
      <c r="C69" s="188"/>
      <c r="D69" s="189" t="s">
        <v>8</v>
      </c>
      <c r="E69" s="190">
        <f>F69+G69+H69+I69+J69</f>
        <v>1672</v>
      </c>
      <c r="F69" s="190">
        <f>F59+F60+F61+F62+F63+F64+F65+F66+F68</f>
        <v>0</v>
      </c>
      <c r="G69" s="190">
        <f>G59+G60+G61+G62+G63+G64+G65+G66+G68</f>
        <v>0</v>
      </c>
      <c r="H69" s="190">
        <f>H59+H60+H61+H62+H63+H64+H65+H66+H68+H67</f>
        <v>1672</v>
      </c>
      <c r="I69" s="190">
        <f>I59+I60+I61+I62+I63+I64+I65+I66+I68</f>
        <v>0</v>
      </c>
      <c r="J69" s="191">
        <f>J59+J60+J61+J62+J63+J64+J65+J66+J68</f>
        <v>0</v>
      </c>
      <c r="K69" s="192"/>
      <c r="L69" s="193"/>
      <c r="M69" s="57"/>
    </row>
    <row r="70" spans="1:13" ht="36" customHeight="1" x14ac:dyDescent="0.3">
      <c r="A70" s="96" t="s">
        <v>36</v>
      </c>
      <c r="B70" s="171" t="s">
        <v>331</v>
      </c>
      <c r="C70" s="172"/>
      <c r="D70" s="172"/>
      <c r="E70" s="172"/>
      <c r="F70" s="172"/>
      <c r="G70" s="172"/>
      <c r="H70" s="172"/>
      <c r="I70" s="172"/>
      <c r="J70" s="172"/>
      <c r="K70" s="172"/>
      <c r="L70" s="173"/>
      <c r="M70" s="57"/>
    </row>
    <row r="71" spans="1:13" ht="37.5" customHeight="1" thickBot="1" x14ac:dyDescent="0.35">
      <c r="A71" s="92"/>
      <c r="B71" s="135" t="s">
        <v>332</v>
      </c>
      <c r="C71" s="136"/>
      <c r="D71" s="136"/>
      <c r="E71" s="136"/>
      <c r="F71" s="136"/>
      <c r="G71" s="136"/>
      <c r="H71" s="136"/>
      <c r="I71" s="136"/>
      <c r="J71" s="136"/>
      <c r="K71" s="136"/>
      <c r="L71" s="137"/>
      <c r="M71" s="57"/>
    </row>
    <row r="72" spans="1:13" s="198" customFormat="1" ht="19.5" customHeight="1" thickBot="1" x14ac:dyDescent="0.3">
      <c r="A72" s="194" t="s">
        <v>37</v>
      </c>
      <c r="B72" s="195"/>
      <c r="C72" s="195"/>
      <c r="D72" s="195"/>
      <c r="E72" s="195"/>
      <c r="F72" s="195"/>
      <c r="G72" s="195"/>
      <c r="H72" s="195"/>
      <c r="I72" s="195"/>
      <c r="J72" s="195"/>
      <c r="K72" s="195"/>
      <c r="L72" s="196"/>
      <c r="M72" s="197"/>
    </row>
    <row r="73" spans="1:13" ht="23.1" customHeight="1" x14ac:dyDescent="0.25">
      <c r="A73" s="40" t="s">
        <v>38</v>
      </c>
      <c r="B73" s="199" t="s">
        <v>39</v>
      </c>
      <c r="C73" s="148"/>
      <c r="D73" s="101">
        <v>2018</v>
      </c>
      <c r="E73" s="102">
        <f>F73+G73+H73+J73</f>
        <v>395684.1</v>
      </c>
      <c r="F73" s="102">
        <v>0</v>
      </c>
      <c r="G73" s="102">
        <f>G83</f>
        <v>306118.7</v>
      </c>
      <c r="H73" s="102">
        <f>H83+H103+H113+H122+H131</f>
        <v>89565.4</v>
      </c>
      <c r="I73" s="102">
        <v>0</v>
      </c>
      <c r="J73" s="102">
        <v>0</v>
      </c>
      <c r="K73" s="109" t="s">
        <v>44</v>
      </c>
      <c r="L73" s="156" t="s">
        <v>31</v>
      </c>
      <c r="M73" s="57"/>
    </row>
    <row r="74" spans="1:13" ht="23.1" customHeight="1" x14ac:dyDescent="0.25">
      <c r="A74" s="41"/>
      <c r="B74" s="199"/>
      <c r="C74" s="148">
        <v>0</v>
      </c>
      <c r="D74" s="101">
        <v>2019</v>
      </c>
      <c r="E74" s="102">
        <f t="shared" ref="E74:E181" si="8">F74+G74+H74+J74</f>
        <v>411887.9</v>
      </c>
      <c r="F74" s="102">
        <v>0</v>
      </c>
      <c r="G74" s="102">
        <f t="shared" ref="G74:G77" si="9">G84</f>
        <v>318164</v>
      </c>
      <c r="H74" s="102">
        <f>H84+H104+H114+H123+H132</f>
        <v>93723.900000000009</v>
      </c>
      <c r="I74" s="102">
        <v>0</v>
      </c>
      <c r="J74" s="102">
        <v>0</v>
      </c>
      <c r="K74" s="181"/>
      <c r="L74" s="182"/>
      <c r="M74" s="57"/>
    </row>
    <row r="75" spans="1:13" ht="23.1" customHeight="1" x14ac:dyDescent="0.25">
      <c r="A75" s="41"/>
      <c r="B75" s="199"/>
      <c r="C75" s="148">
        <v>0</v>
      </c>
      <c r="D75" s="104">
        <v>2020</v>
      </c>
      <c r="E75" s="102">
        <f t="shared" si="8"/>
        <v>421625.8</v>
      </c>
      <c r="F75" s="120">
        <v>0</v>
      </c>
      <c r="G75" s="102">
        <f t="shared" si="9"/>
        <v>330071.5</v>
      </c>
      <c r="H75" s="102">
        <f>H85+H105+H115+H124+H133</f>
        <v>91554.3</v>
      </c>
      <c r="I75" s="102">
        <v>0</v>
      </c>
      <c r="J75" s="102">
        <v>0</v>
      </c>
      <c r="K75" s="181"/>
      <c r="L75" s="182"/>
      <c r="M75" s="57"/>
    </row>
    <row r="76" spans="1:13" ht="23.1" customHeight="1" x14ac:dyDescent="0.25">
      <c r="A76" s="41"/>
      <c r="B76" s="199"/>
      <c r="C76" s="151">
        <v>0</v>
      </c>
      <c r="D76" s="104">
        <v>2021</v>
      </c>
      <c r="E76" s="102">
        <f t="shared" si="8"/>
        <v>445861.7</v>
      </c>
      <c r="F76" s="120">
        <v>0</v>
      </c>
      <c r="G76" s="102">
        <f t="shared" si="9"/>
        <v>338734.3</v>
      </c>
      <c r="H76" s="102">
        <f>H86+H106+H116+H125+H134</f>
        <v>107127.40000000001</v>
      </c>
      <c r="I76" s="102">
        <v>0</v>
      </c>
      <c r="J76" s="102">
        <v>0</v>
      </c>
      <c r="K76" s="181"/>
      <c r="L76" s="182"/>
      <c r="M76" s="57"/>
    </row>
    <row r="77" spans="1:13" ht="23.1" customHeight="1" x14ac:dyDescent="0.25">
      <c r="A77" s="41"/>
      <c r="B77" s="199"/>
      <c r="C77" s="151">
        <v>0</v>
      </c>
      <c r="D77" s="104">
        <v>2022</v>
      </c>
      <c r="E77" s="102">
        <f t="shared" si="8"/>
        <v>497322</v>
      </c>
      <c r="F77" s="120">
        <v>0</v>
      </c>
      <c r="G77" s="102">
        <f t="shared" si="9"/>
        <v>371198.8</v>
      </c>
      <c r="H77" s="102">
        <f>H87+H107+H117+H126+H135</f>
        <v>126123.2</v>
      </c>
      <c r="I77" s="102">
        <v>0</v>
      </c>
      <c r="J77" s="102">
        <v>0</v>
      </c>
      <c r="K77" s="181"/>
      <c r="L77" s="182"/>
      <c r="M77" s="57"/>
    </row>
    <row r="78" spans="1:13" ht="23.1" customHeight="1" x14ac:dyDescent="0.25">
      <c r="A78" s="41"/>
      <c r="B78" s="199"/>
      <c r="C78" s="151">
        <v>0</v>
      </c>
      <c r="D78" s="104">
        <v>2023</v>
      </c>
      <c r="E78" s="102">
        <f t="shared" si="8"/>
        <v>535884.30000000005</v>
      </c>
      <c r="F78" s="120">
        <v>0</v>
      </c>
      <c r="G78" s="102">
        <f>G88+G98</f>
        <v>407477.7</v>
      </c>
      <c r="H78" s="102">
        <f>H88+H98+H108+H118+H127+H136</f>
        <v>128406.60000000002</v>
      </c>
      <c r="I78" s="102">
        <v>0</v>
      </c>
      <c r="J78" s="102">
        <v>0</v>
      </c>
      <c r="K78" s="181"/>
      <c r="L78" s="182"/>
      <c r="M78" s="57"/>
    </row>
    <row r="79" spans="1:13" ht="23.1" customHeight="1" x14ac:dyDescent="0.25">
      <c r="A79" s="41"/>
      <c r="B79" s="199"/>
      <c r="C79" s="151">
        <v>0</v>
      </c>
      <c r="D79" s="104">
        <v>2024</v>
      </c>
      <c r="E79" s="102">
        <f t="shared" si="8"/>
        <v>638461.60000000009</v>
      </c>
      <c r="F79" s="120">
        <v>0</v>
      </c>
      <c r="G79" s="102">
        <f>G89+G99</f>
        <v>488469.40000000008</v>
      </c>
      <c r="H79" s="102">
        <f>H89+H109+H119+H128+H137+H99</f>
        <v>149992.20000000001</v>
      </c>
      <c r="I79" s="102">
        <v>0</v>
      </c>
      <c r="J79" s="102">
        <v>0</v>
      </c>
      <c r="K79" s="181"/>
      <c r="L79" s="182"/>
      <c r="M79" s="57"/>
    </row>
    <row r="80" spans="1:13" ht="23.1" customHeight="1" x14ac:dyDescent="0.25">
      <c r="A80" s="41"/>
      <c r="B80" s="199"/>
      <c r="C80" s="151">
        <v>0</v>
      </c>
      <c r="D80" s="104">
        <v>2025</v>
      </c>
      <c r="E80" s="102">
        <f>F80+G80+H80+J80</f>
        <v>751872.4</v>
      </c>
      <c r="F80" s="120">
        <v>0</v>
      </c>
      <c r="G80" s="102">
        <f>G90+G100</f>
        <v>553631.4</v>
      </c>
      <c r="H80" s="102">
        <f>H90+H110+H120+H129+H138+H100</f>
        <v>198241</v>
      </c>
      <c r="I80" s="102">
        <v>0</v>
      </c>
      <c r="J80" s="102">
        <v>0</v>
      </c>
      <c r="K80" s="181"/>
      <c r="L80" s="182"/>
      <c r="M80" s="57"/>
    </row>
    <row r="81" spans="1:13" ht="23.1" customHeight="1" x14ac:dyDescent="0.25">
      <c r="A81" s="41"/>
      <c r="B81" s="199"/>
      <c r="C81" s="151"/>
      <c r="D81" s="104">
        <v>2026</v>
      </c>
      <c r="E81" s="102">
        <f>F81+G81+H81+J81</f>
        <v>796263.5</v>
      </c>
      <c r="F81" s="120">
        <v>0</v>
      </c>
      <c r="G81" s="102">
        <f>G91+G101</f>
        <v>593849.5</v>
      </c>
      <c r="H81" s="102">
        <f>H91+H111+H121+H130+H139+H101</f>
        <v>202414</v>
      </c>
      <c r="I81" s="102">
        <v>0</v>
      </c>
      <c r="J81" s="102">
        <v>0</v>
      </c>
      <c r="K81" s="181"/>
      <c r="L81" s="182"/>
      <c r="M81" s="57"/>
    </row>
    <row r="82" spans="1:13" ht="23.1" customHeight="1" x14ac:dyDescent="0.25">
      <c r="A82" s="41"/>
      <c r="B82" s="199"/>
      <c r="C82" s="151"/>
      <c r="D82" s="104">
        <v>2027</v>
      </c>
      <c r="E82" s="102">
        <f t="shared" si="8"/>
        <v>833239.10000000009</v>
      </c>
      <c r="F82" s="120">
        <v>0</v>
      </c>
      <c r="G82" s="102">
        <f>G92+G102</f>
        <v>628873.80000000005</v>
      </c>
      <c r="H82" s="102">
        <f>H92+H112+H121+H130+H140+H102</f>
        <v>204365.30000000002</v>
      </c>
      <c r="I82" s="102">
        <v>0</v>
      </c>
      <c r="J82" s="102">
        <v>0</v>
      </c>
      <c r="K82" s="181"/>
      <c r="L82" s="182"/>
      <c r="M82" s="57"/>
    </row>
    <row r="83" spans="1:13" ht="23.1" customHeight="1" x14ac:dyDescent="0.25">
      <c r="A83" s="41"/>
      <c r="B83" s="199" t="s">
        <v>40</v>
      </c>
      <c r="C83" s="148">
        <v>0</v>
      </c>
      <c r="D83" s="101">
        <v>2018</v>
      </c>
      <c r="E83" s="102">
        <f>F83+G83+H83+J83</f>
        <v>387008.2</v>
      </c>
      <c r="F83" s="102">
        <v>0</v>
      </c>
      <c r="G83" s="102">
        <v>306118.7</v>
      </c>
      <c r="H83" s="102">
        <v>80889.5</v>
      </c>
      <c r="I83" s="102">
        <v>0</v>
      </c>
      <c r="J83" s="102">
        <v>0</v>
      </c>
      <c r="K83" s="181"/>
      <c r="L83" s="182"/>
      <c r="M83" s="57"/>
    </row>
    <row r="84" spans="1:13" ht="23.1" customHeight="1" x14ac:dyDescent="0.25">
      <c r="A84" s="41"/>
      <c r="B84" s="199"/>
      <c r="C84" s="148">
        <v>0</v>
      </c>
      <c r="D84" s="101">
        <v>2019</v>
      </c>
      <c r="E84" s="102">
        <f t="shared" si="8"/>
        <v>404942.1</v>
      </c>
      <c r="F84" s="102">
        <v>0</v>
      </c>
      <c r="G84" s="102">
        <v>318164</v>
      </c>
      <c r="H84" s="102">
        <v>86778.1</v>
      </c>
      <c r="I84" s="102">
        <v>0</v>
      </c>
      <c r="J84" s="102">
        <v>0</v>
      </c>
      <c r="K84" s="181"/>
      <c r="L84" s="182"/>
      <c r="M84" s="57"/>
    </row>
    <row r="85" spans="1:13" ht="23.1" customHeight="1" x14ac:dyDescent="0.25">
      <c r="A85" s="41"/>
      <c r="B85" s="199"/>
      <c r="C85" s="148">
        <v>0</v>
      </c>
      <c r="D85" s="104">
        <v>2020</v>
      </c>
      <c r="E85" s="102">
        <f t="shared" si="8"/>
        <v>416470.1</v>
      </c>
      <c r="F85" s="120">
        <v>0</v>
      </c>
      <c r="G85" s="102">
        <v>330071.5</v>
      </c>
      <c r="H85" s="102">
        <v>86398.6</v>
      </c>
      <c r="I85" s="102">
        <v>0</v>
      </c>
      <c r="J85" s="102">
        <v>0</v>
      </c>
      <c r="K85" s="181"/>
      <c r="L85" s="182"/>
      <c r="M85" s="57"/>
    </row>
    <row r="86" spans="1:13" ht="23.1" customHeight="1" x14ac:dyDescent="0.25">
      <c r="A86" s="41"/>
      <c r="B86" s="199"/>
      <c r="C86" s="151">
        <v>0</v>
      </c>
      <c r="D86" s="104">
        <v>2021</v>
      </c>
      <c r="E86" s="102">
        <f t="shared" si="8"/>
        <v>445547.6</v>
      </c>
      <c r="F86" s="120">
        <v>0</v>
      </c>
      <c r="G86" s="102">
        <v>338734.3</v>
      </c>
      <c r="H86" s="102">
        <v>106813.3</v>
      </c>
      <c r="I86" s="102">
        <v>0</v>
      </c>
      <c r="J86" s="102">
        <v>0</v>
      </c>
      <c r="K86" s="181"/>
      <c r="L86" s="182"/>
      <c r="M86" s="57"/>
    </row>
    <row r="87" spans="1:13" ht="23.1" customHeight="1" x14ac:dyDescent="0.25">
      <c r="A87" s="41"/>
      <c r="B87" s="199"/>
      <c r="C87" s="151">
        <v>0</v>
      </c>
      <c r="D87" s="104">
        <v>2022</v>
      </c>
      <c r="E87" s="102">
        <f t="shared" si="8"/>
        <v>495773.5</v>
      </c>
      <c r="F87" s="120">
        <v>0</v>
      </c>
      <c r="G87" s="102">
        <f>342193.5+28654.5+350.8</f>
        <v>371198.8</v>
      </c>
      <c r="H87" s="102">
        <f>122626.7+671.6+1747-48.5+130-1197.5+645.4</f>
        <v>124574.7</v>
      </c>
      <c r="I87" s="102">
        <v>0</v>
      </c>
      <c r="J87" s="102">
        <v>0</v>
      </c>
      <c r="K87" s="181"/>
      <c r="L87" s="182"/>
      <c r="M87" s="57"/>
    </row>
    <row r="88" spans="1:13" ht="23.1" customHeight="1" x14ac:dyDescent="0.25">
      <c r="A88" s="41"/>
      <c r="B88" s="199"/>
      <c r="C88" s="151">
        <v>0</v>
      </c>
      <c r="D88" s="104">
        <v>2023</v>
      </c>
      <c r="E88" s="102">
        <f t="shared" si="8"/>
        <v>487172.60000000003</v>
      </c>
      <c r="F88" s="120">
        <v>0</v>
      </c>
      <c r="G88" s="102">
        <f>343740.2+1956-29.3+4532.8+8793.3</f>
        <v>358993</v>
      </c>
      <c r="H88" s="102">
        <f>119761.6+505.8+1373.5+416+171.6+376.9+4711.6+53.8+120.6+862.4+212-386.2</f>
        <v>128179.60000000002</v>
      </c>
      <c r="I88" s="102">
        <v>0</v>
      </c>
      <c r="J88" s="102">
        <v>0</v>
      </c>
      <c r="K88" s="181"/>
      <c r="L88" s="182"/>
      <c r="M88" s="57"/>
    </row>
    <row r="89" spans="1:13" ht="23.1" customHeight="1" x14ac:dyDescent="0.25">
      <c r="A89" s="41"/>
      <c r="B89" s="199"/>
      <c r="C89" s="151">
        <v>0</v>
      </c>
      <c r="D89" s="104">
        <v>2024</v>
      </c>
      <c r="E89" s="102">
        <f t="shared" si="8"/>
        <v>580653.90000000014</v>
      </c>
      <c r="F89" s="120">
        <v>0</v>
      </c>
      <c r="G89" s="121">
        <f>424812.5-G99+307.2-211.6+34332.2+24960.4+4268.7</f>
        <v>431191.8000000001</v>
      </c>
      <c r="H89" s="121">
        <f>145710.4+3291.7+460</f>
        <v>149462.1</v>
      </c>
      <c r="I89" s="102">
        <v>0</v>
      </c>
      <c r="J89" s="102">
        <v>0</v>
      </c>
      <c r="K89" s="181"/>
      <c r="L89" s="182"/>
      <c r="M89" s="57"/>
    </row>
    <row r="90" spans="1:13" ht="23.1" customHeight="1" x14ac:dyDescent="0.25">
      <c r="A90" s="41"/>
      <c r="B90" s="199"/>
      <c r="C90" s="151">
        <v>0</v>
      </c>
      <c r="D90" s="104">
        <v>2025</v>
      </c>
      <c r="E90" s="102">
        <f t="shared" si="8"/>
        <v>683528.70000000007</v>
      </c>
      <c r="F90" s="120">
        <v>0</v>
      </c>
      <c r="G90" s="121">
        <f>553631.4-G100</f>
        <v>496353.80000000005</v>
      </c>
      <c r="H90" s="121">
        <v>187174.9</v>
      </c>
      <c r="I90" s="102">
        <v>0</v>
      </c>
      <c r="J90" s="102">
        <v>0</v>
      </c>
      <c r="K90" s="181"/>
      <c r="L90" s="182"/>
      <c r="M90" s="57"/>
    </row>
    <row r="91" spans="1:13" ht="23.1" customHeight="1" x14ac:dyDescent="0.25">
      <c r="A91" s="41"/>
      <c r="B91" s="199"/>
      <c r="C91" s="151"/>
      <c r="D91" s="104">
        <v>2026</v>
      </c>
      <c r="E91" s="102">
        <f t="shared" ref="E91" si="10">F91+G91+H91+J91</f>
        <v>727919.8</v>
      </c>
      <c r="F91" s="120">
        <v>0</v>
      </c>
      <c r="G91" s="121">
        <f>593849.5-G101</f>
        <v>536571.9</v>
      </c>
      <c r="H91" s="121">
        <v>191347.9</v>
      </c>
      <c r="I91" s="102">
        <v>0</v>
      </c>
      <c r="J91" s="102">
        <v>0</v>
      </c>
      <c r="K91" s="181"/>
      <c r="L91" s="182"/>
      <c r="M91" s="57"/>
    </row>
    <row r="92" spans="1:13" ht="23.1" customHeight="1" x14ac:dyDescent="0.25">
      <c r="A92" s="41"/>
      <c r="B92" s="199"/>
      <c r="C92" s="151"/>
      <c r="D92" s="104">
        <v>2027</v>
      </c>
      <c r="E92" s="102">
        <f t="shared" si="8"/>
        <v>764895.40000000014</v>
      </c>
      <c r="F92" s="120">
        <v>0</v>
      </c>
      <c r="G92" s="121">
        <f>628873.8-G101</f>
        <v>571596.20000000007</v>
      </c>
      <c r="H92" s="121">
        <v>193299.20000000001</v>
      </c>
      <c r="I92" s="102">
        <v>0</v>
      </c>
      <c r="J92" s="102">
        <v>0</v>
      </c>
      <c r="K92" s="181"/>
      <c r="L92" s="182"/>
      <c r="M92" s="57"/>
    </row>
    <row r="93" spans="1:13" ht="23.1" customHeight="1" x14ac:dyDescent="0.25">
      <c r="A93" s="41"/>
      <c r="B93" s="199" t="s">
        <v>193</v>
      </c>
      <c r="C93" s="148">
        <v>0</v>
      </c>
      <c r="D93" s="101">
        <v>2018</v>
      </c>
      <c r="E93" s="102">
        <f t="shared" si="8"/>
        <v>0</v>
      </c>
      <c r="F93" s="102">
        <v>0</v>
      </c>
      <c r="G93" s="102">
        <v>0</v>
      </c>
      <c r="H93" s="102">
        <v>0</v>
      </c>
      <c r="I93" s="102">
        <v>0</v>
      </c>
      <c r="J93" s="102">
        <v>0</v>
      </c>
      <c r="K93" s="181"/>
      <c r="L93" s="182"/>
      <c r="M93" s="57"/>
    </row>
    <row r="94" spans="1:13" ht="23.1" customHeight="1" x14ac:dyDescent="0.25">
      <c r="A94" s="41"/>
      <c r="B94" s="199"/>
      <c r="C94" s="148">
        <v>0</v>
      </c>
      <c r="D94" s="101">
        <v>2019</v>
      </c>
      <c r="E94" s="102">
        <f t="shared" si="8"/>
        <v>0</v>
      </c>
      <c r="F94" s="102">
        <v>0</v>
      </c>
      <c r="G94" s="102">
        <v>0</v>
      </c>
      <c r="H94" s="102">
        <v>0</v>
      </c>
      <c r="I94" s="102">
        <v>0</v>
      </c>
      <c r="J94" s="102">
        <v>0</v>
      </c>
      <c r="K94" s="181"/>
      <c r="L94" s="182"/>
      <c r="M94" s="57"/>
    </row>
    <row r="95" spans="1:13" ht="23.1" customHeight="1" x14ac:dyDescent="0.25">
      <c r="A95" s="41"/>
      <c r="B95" s="199"/>
      <c r="C95" s="148">
        <v>0</v>
      </c>
      <c r="D95" s="104">
        <v>2020</v>
      </c>
      <c r="E95" s="102">
        <f t="shared" si="8"/>
        <v>0</v>
      </c>
      <c r="F95" s="120">
        <v>0</v>
      </c>
      <c r="G95" s="102">
        <v>0</v>
      </c>
      <c r="H95" s="102">
        <v>0</v>
      </c>
      <c r="I95" s="102">
        <v>0</v>
      </c>
      <c r="J95" s="102">
        <v>0</v>
      </c>
      <c r="K95" s="181"/>
      <c r="L95" s="182"/>
      <c r="M95" s="57"/>
    </row>
    <row r="96" spans="1:13" ht="23.1" customHeight="1" x14ac:dyDescent="0.25">
      <c r="A96" s="41"/>
      <c r="B96" s="199"/>
      <c r="C96" s="151">
        <v>0</v>
      </c>
      <c r="D96" s="104">
        <v>2021</v>
      </c>
      <c r="E96" s="102">
        <f t="shared" si="8"/>
        <v>0</v>
      </c>
      <c r="F96" s="120">
        <v>0</v>
      </c>
      <c r="G96" s="102">
        <v>0</v>
      </c>
      <c r="H96" s="102">
        <v>0</v>
      </c>
      <c r="I96" s="102">
        <v>0</v>
      </c>
      <c r="J96" s="102">
        <v>0</v>
      </c>
      <c r="K96" s="181"/>
      <c r="L96" s="182"/>
      <c r="M96" s="57"/>
    </row>
    <row r="97" spans="1:13" ht="23.1" customHeight="1" x14ac:dyDescent="0.25">
      <c r="A97" s="41"/>
      <c r="B97" s="199"/>
      <c r="C97" s="151">
        <v>0</v>
      </c>
      <c r="D97" s="104">
        <v>2022</v>
      </c>
      <c r="E97" s="102">
        <f t="shared" si="8"/>
        <v>0</v>
      </c>
      <c r="F97" s="120">
        <v>0</v>
      </c>
      <c r="G97" s="102">
        <v>0</v>
      </c>
      <c r="H97" s="102">
        <v>0</v>
      </c>
      <c r="I97" s="102">
        <v>0</v>
      </c>
      <c r="J97" s="102">
        <v>0</v>
      </c>
      <c r="K97" s="181"/>
      <c r="L97" s="182"/>
      <c r="M97" s="57"/>
    </row>
    <row r="98" spans="1:13" ht="23.1" customHeight="1" x14ac:dyDescent="0.25">
      <c r="A98" s="41"/>
      <c r="B98" s="199"/>
      <c r="C98" s="151">
        <v>0</v>
      </c>
      <c r="D98" s="104">
        <v>2023</v>
      </c>
      <c r="E98" s="102">
        <f t="shared" si="8"/>
        <v>48484.7</v>
      </c>
      <c r="F98" s="120">
        <v>0</v>
      </c>
      <c r="G98" s="102">
        <f>57277.6-8792.9</f>
        <v>48484.7</v>
      </c>
      <c r="H98" s="102">
        <v>0</v>
      </c>
      <c r="I98" s="102">
        <v>0</v>
      </c>
      <c r="J98" s="102">
        <v>0</v>
      </c>
      <c r="K98" s="181"/>
      <c r="L98" s="182"/>
      <c r="M98" s="57"/>
    </row>
    <row r="99" spans="1:13" ht="23.1" customHeight="1" x14ac:dyDescent="0.25">
      <c r="A99" s="41"/>
      <c r="B99" s="199"/>
      <c r="C99" s="151">
        <v>0</v>
      </c>
      <c r="D99" s="104">
        <v>2024</v>
      </c>
      <c r="E99" s="102">
        <f t="shared" si="8"/>
        <v>57277.599999999999</v>
      </c>
      <c r="F99" s="120">
        <v>0</v>
      </c>
      <c r="G99" s="102">
        <v>57277.599999999999</v>
      </c>
      <c r="H99" s="102">
        <v>0</v>
      </c>
      <c r="I99" s="102">
        <v>0</v>
      </c>
      <c r="J99" s="102">
        <v>0</v>
      </c>
      <c r="K99" s="181"/>
      <c r="L99" s="182"/>
      <c r="M99" s="57"/>
    </row>
    <row r="100" spans="1:13" ht="23.1" customHeight="1" x14ac:dyDescent="0.25">
      <c r="A100" s="41"/>
      <c r="B100" s="199"/>
      <c r="C100" s="151">
        <v>0</v>
      </c>
      <c r="D100" s="104">
        <v>2025</v>
      </c>
      <c r="E100" s="102">
        <f t="shared" si="8"/>
        <v>57277.599999999999</v>
      </c>
      <c r="F100" s="120">
        <v>0</v>
      </c>
      <c r="G100" s="102">
        <v>57277.599999999999</v>
      </c>
      <c r="H100" s="102">
        <v>0</v>
      </c>
      <c r="I100" s="102">
        <v>0</v>
      </c>
      <c r="J100" s="102">
        <v>0</v>
      </c>
      <c r="K100" s="181"/>
      <c r="L100" s="182"/>
      <c r="M100" s="57"/>
    </row>
    <row r="101" spans="1:13" ht="23.1" customHeight="1" x14ac:dyDescent="0.25">
      <c r="A101" s="41"/>
      <c r="B101" s="199"/>
      <c r="C101" s="151"/>
      <c r="D101" s="104">
        <v>2026</v>
      </c>
      <c r="E101" s="102">
        <f t="shared" ref="E101" si="11">F101+G101+H101+J101</f>
        <v>57277.599999999999</v>
      </c>
      <c r="F101" s="120">
        <v>0</v>
      </c>
      <c r="G101" s="102">
        <v>57277.599999999999</v>
      </c>
      <c r="H101" s="102">
        <v>0</v>
      </c>
      <c r="I101" s="102">
        <v>0</v>
      </c>
      <c r="J101" s="102">
        <v>0</v>
      </c>
      <c r="K101" s="181"/>
      <c r="L101" s="182"/>
      <c r="M101" s="57"/>
    </row>
    <row r="102" spans="1:13" ht="23.1" customHeight="1" x14ac:dyDescent="0.25">
      <c r="A102" s="41"/>
      <c r="B102" s="199"/>
      <c r="C102" s="151"/>
      <c r="D102" s="104">
        <v>2027</v>
      </c>
      <c r="E102" s="102">
        <f t="shared" si="8"/>
        <v>57277.599999999999</v>
      </c>
      <c r="F102" s="120">
        <v>0</v>
      </c>
      <c r="G102" s="102">
        <f>57277.6</f>
        <v>57277.599999999999</v>
      </c>
      <c r="H102" s="102">
        <v>0</v>
      </c>
      <c r="I102" s="102">
        <v>0</v>
      </c>
      <c r="J102" s="102">
        <v>0</v>
      </c>
      <c r="K102" s="181"/>
      <c r="L102" s="182"/>
      <c r="M102" s="57"/>
    </row>
    <row r="103" spans="1:13" ht="23.1" customHeight="1" x14ac:dyDescent="0.25">
      <c r="A103" s="41"/>
      <c r="B103" s="76" t="s">
        <v>192</v>
      </c>
      <c r="C103" s="148">
        <v>0</v>
      </c>
      <c r="D103" s="101">
        <v>2018</v>
      </c>
      <c r="E103" s="102">
        <f t="shared" si="8"/>
        <v>2000</v>
      </c>
      <c r="F103" s="102">
        <v>0</v>
      </c>
      <c r="G103" s="102">
        <v>0</v>
      </c>
      <c r="H103" s="102">
        <v>2000</v>
      </c>
      <c r="I103" s="102">
        <v>0</v>
      </c>
      <c r="J103" s="102">
        <v>0</v>
      </c>
      <c r="K103" s="181"/>
      <c r="L103" s="182"/>
      <c r="M103" s="57"/>
    </row>
    <row r="104" spans="1:13" ht="23.1" customHeight="1" x14ac:dyDescent="0.25">
      <c r="A104" s="41"/>
      <c r="B104" s="76"/>
      <c r="C104" s="148">
        <v>0</v>
      </c>
      <c r="D104" s="101">
        <v>2019</v>
      </c>
      <c r="E104" s="102">
        <f t="shared" si="8"/>
        <v>0</v>
      </c>
      <c r="F104" s="102">
        <v>0</v>
      </c>
      <c r="G104" s="102">
        <v>0</v>
      </c>
      <c r="H104" s="102">
        <v>0</v>
      </c>
      <c r="I104" s="102">
        <v>0</v>
      </c>
      <c r="J104" s="102">
        <v>0</v>
      </c>
      <c r="K104" s="181"/>
      <c r="L104" s="182"/>
      <c r="M104" s="57"/>
    </row>
    <row r="105" spans="1:13" ht="23.1" customHeight="1" x14ac:dyDescent="0.25">
      <c r="A105" s="41"/>
      <c r="B105" s="76"/>
      <c r="C105" s="148">
        <v>0</v>
      </c>
      <c r="D105" s="104">
        <v>2020</v>
      </c>
      <c r="E105" s="102">
        <f t="shared" si="8"/>
        <v>298</v>
      </c>
      <c r="F105" s="120">
        <v>0</v>
      </c>
      <c r="G105" s="102">
        <v>0</v>
      </c>
      <c r="H105" s="102">
        <v>298</v>
      </c>
      <c r="I105" s="102">
        <v>0</v>
      </c>
      <c r="J105" s="102">
        <v>0</v>
      </c>
      <c r="K105" s="181"/>
      <c r="L105" s="182"/>
      <c r="M105" s="57"/>
    </row>
    <row r="106" spans="1:13" ht="23.1" customHeight="1" x14ac:dyDescent="0.25">
      <c r="A106" s="41"/>
      <c r="B106" s="76"/>
      <c r="C106" s="151">
        <v>0</v>
      </c>
      <c r="D106" s="104">
        <v>2021</v>
      </c>
      <c r="E106" s="102">
        <f t="shared" si="8"/>
        <v>314.10000000000002</v>
      </c>
      <c r="F106" s="120">
        <v>0</v>
      </c>
      <c r="G106" s="102">
        <v>0</v>
      </c>
      <c r="H106" s="102">
        <v>314.10000000000002</v>
      </c>
      <c r="I106" s="102">
        <v>0</v>
      </c>
      <c r="J106" s="102">
        <v>0</v>
      </c>
      <c r="K106" s="181"/>
      <c r="L106" s="182"/>
      <c r="M106" s="57"/>
    </row>
    <row r="107" spans="1:13" ht="23.1" customHeight="1" x14ac:dyDescent="0.25">
      <c r="A107" s="41"/>
      <c r="B107" s="76"/>
      <c r="C107" s="151">
        <v>0</v>
      </c>
      <c r="D107" s="104">
        <v>2022</v>
      </c>
      <c r="E107" s="102">
        <f t="shared" si="8"/>
        <v>1500</v>
      </c>
      <c r="F107" s="120">
        <v>0</v>
      </c>
      <c r="G107" s="102">
        <v>0</v>
      </c>
      <c r="H107" s="102">
        <v>1500</v>
      </c>
      <c r="I107" s="102">
        <v>0</v>
      </c>
      <c r="J107" s="102">
        <v>0</v>
      </c>
      <c r="K107" s="181"/>
      <c r="L107" s="182"/>
      <c r="M107" s="57"/>
    </row>
    <row r="108" spans="1:13" ht="23.1" customHeight="1" x14ac:dyDescent="0.25">
      <c r="A108" s="41"/>
      <c r="B108" s="76"/>
      <c r="C108" s="151">
        <v>0</v>
      </c>
      <c r="D108" s="104">
        <v>2023</v>
      </c>
      <c r="E108" s="102">
        <f t="shared" si="8"/>
        <v>113.6</v>
      </c>
      <c r="F108" s="120">
        <v>0</v>
      </c>
      <c r="G108" s="102">
        <v>0</v>
      </c>
      <c r="H108" s="102">
        <v>113.6</v>
      </c>
      <c r="I108" s="102">
        <v>0</v>
      </c>
      <c r="J108" s="102">
        <v>0</v>
      </c>
      <c r="K108" s="181"/>
      <c r="L108" s="182"/>
      <c r="M108" s="57"/>
    </row>
    <row r="109" spans="1:13" ht="23.1" customHeight="1" x14ac:dyDescent="0.25">
      <c r="A109" s="41"/>
      <c r="B109" s="76"/>
      <c r="C109" s="151">
        <v>0</v>
      </c>
      <c r="D109" s="104">
        <v>2024</v>
      </c>
      <c r="E109" s="102">
        <f t="shared" si="8"/>
        <v>439</v>
      </c>
      <c r="F109" s="120">
        <v>0</v>
      </c>
      <c r="G109" s="102">
        <v>0</v>
      </c>
      <c r="H109" s="121">
        <f>80+45+314</f>
        <v>439</v>
      </c>
      <c r="I109" s="102">
        <v>0</v>
      </c>
      <c r="J109" s="102">
        <v>0</v>
      </c>
      <c r="K109" s="181"/>
      <c r="L109" s="182"/>
      <c r="M109" s="57"/>
    </row>
    <row r="110" spans="1:13" ht="23.1" customHeight="1" x14ac:dyDescent="0.25">
      <c r="A110" s="41"/>
      <c r="B110" s="76"/>
      <c r="C110" s="151">
        <v>0</v>
      </c>
      <c r="D110" s="104">
        <v>2025</v>
      </c>
      <c r="E110" s="102">
        <f t="shared" si="8"/>
        <v>10967.4</v>
      </c>
      <c r="F110" s="120">
        <v>0</v>
      </c>
      <c r="G110" s="102">
        <v>0</v>
      </c>
      <c r="H110" s="121">
        <v>10967.4</v>
      </c>
      <c r="I110" s="102">
        <v>0</v>
      </c>
      <c r="J110" s="102">
        <v>0</v>
      </c>
      <c r="K110" s="181"/>
      <c r="L110" s="182"/>
      <c r="M110" s="57"/>
    </row>
    <row r="111" spans="1:13" ht="23.1" customHeight="1" x14ac:dyDescent="0.25">
      <c r="A111" s="41"/>
      <c r="B111" s="76"/>
      <c r="C111" s="151"/>
      <c r="D111" s="104">
        <v>2026</v>
      </c>
      <c r="E111" s="102">
        <f t="shared" si="8"/>
        <v>10967.4</v>
      </c>
      <c r="F111" s="120">
        <v>0</v>
      </c>
      <c r="G111" s="102">
        <v>0</v>
      </c>
      <c r="H111" s="121">
        <v>10967.4</v>
      </c>
      <c r="I111" s="120">
        <v>0</v>
      </c>
      <c r="J111" s="102">
        <v>0</v>
      </c>
      <c r="K111" s="181"/>
      <c r="L111" s="182"/>
      <c r="M111" s="57"/>
    </row>
    <row r="112" spans="1:13" ht="23.1" customHeight="1" thickBot="1" x14ac:dyDescent="0.3">
      <c r="A112" s="42"/>
      <c r="B112" s="200"/>
      <c r="C112" s="158"/>
      <c r="D112" s="122">
        <v>2027</v>
      </c>
      <c r="E112" s="201">
        <f t="shared" si="8"/>
        <v>10967.4</v>
      </c>
      <c r="F112" s="202">
        <v>0</v>
      </c>
      <c r="G112" s="201">
        <v>0</v>
      </c>
      <c r="H112" s="203">
        <v>10967.4</v>
      </c>
      <c r="I112" s="201">
        <v>0</v>
      </c>
      <c r="J112" s="201">
        <v>0</v>
      </c>
      <c r="K112" s="184"/>
      <c r="L112" s="185"/>
      <c r="M112" s="57"/>
    </row>
    <row r="113" spans="1:13" ht="23.1" customHeight="1" x14ac:dyDescent="0.25">
      <c r="A113" s="38" t="s">
        <v>38</v>
      </c>
      <c r="B113" s="204" t="s">
        <v>41</v>
      </c>
      <c r="C113" s="205">
        <v>0</v>
      </c>
      <c r="D113" s="117">
        <v>2018</v>
      </c>
      <c r="E113" s="118">
        <f t="shared" si="8"/>
        <v>6675.9</v>
      </c>
      <c r="F113" s="118">
        <v>0</v>
      </c>
      <c r="G113" s="118">
        <v>0</v>
      </c>
      <c r="H113" s="118">
        <v>6675.9</v>
      </c>
      <c r="I113" s="118">
        <v>0</v>
      </c>
      <c r="J113" s="118">
        <v>0</v>
      </c>
      <c r="K113" s="181"/>
      <c r="L113" s="182"/>
      <c r="M113" s="57"/>
    </row>
    <row r="114" spans="1:13" ht="23.1" customHeight="1" x14ac:dyDescent="0.25">
      <c r="A114" s="38"/>
      <c r="B114" s="76"/>
      <c r="C114" s="148">
        <v>0</v>
      </c>
      <c r="D114" s="101">
        <v>2019</v>
      </c>
      <c r="E114" s="102">
        <f t="shared" si="8"/>
        <v>6879.7</v>
      </c>
      <c r="F114" s="102">
        <v>0</v>
      </c>
      <c r="G114" s="102">
        <v>0</v>
      </c>
      <c r="H114" s="102">
        <v>6879.7</v>
      </c>
      <c r="I114" s="102">
        <v>0</v>
      </c>
      <c r="J114" s="102">
        <v>0</v>
      </c>
      <c r="K114" s="181"/>
      <c r="L114" s="182"/>
      <c r="M114" s="57"/>
    </row>
    <row r="115" spans="1:13" ht="23.1" customHeight="1" x14ac:dyDescent="0.25">
      <c r="A115" s="38"/>
      <c r="B115" s="76"/>
      <c r="C115" s="148">
        <v>0</v>
      </c>
      <c r="D115" s="104">
        <v>2020</v>
      </c>
      <c r="E115" s="102">
        <f t="shared" si="8"/>
        <v>4857.7</v>
      </c>
      <c r="F115" s="120">
        <v>0</v>
      </c>
      <c r="G115" s="102">
        <v>0</v>
      </c>
      <c r="H115" s="102">
        <v>4857.7</v>
      </c>
      <c r="I115" s="102">
        <v>0</v>
      </c>
      <c r="J115" s="102">
        <v>0</v>
      </c>
      <c r="K115" s="181"/>
      <c r="L115" s="182"/>
      <c r="M115" s="57"/>
    </row>
    <row r="116" spans="1:13" ht="23.1" customHeight="1" x14ac:dyDescent="0.25">
      <c r="A116" s="38"/>
      <c r="B116" s="76"/>
      <c r="C116" s="151">
        <v>0</v>
      </c>
      <c r="D116" s="104">
        <v>2021</v>
      </c>
      <c r="E116" s="102">
        <f t="shared" si="8"/>
        <v>0</v>
      </c>
      <c r="F116" s="120">
        <v>0</v>
      </c>
      <c r="G116" s="102">
        <v>0</v>
      </c>
      <c r="H116" s="102">
        <v>0</v>
      </c>
      <c r="I116" s="102">
        <v>0</v>
      </c>
      <c r="J116" s="102">
        <v>0</v>
      </c>
      <c r="K116" s="181"/>
      <c r="L116" s="182"/>
      <c r="M116" s="57"/>
    </row>
    <row r="117" spans="1:13" ht="23.1" customHeight="1" x14ac:dyDescent="0.25">
      <c r="A117" s="38"/>
      <c r="B117" s="76"/>
      <c r="C117" s="151">
        <v>0</v>
      </c>
      <c r="D117" s="104">
        <v>2022</v>
      </c>
      <c r="E117" s="102">
        <f t="shared" si="8"/>
        <v>0</v>
      </c>
      <c r="F117" s="120">
        <v>0</v>
      </c>
      <c r="G117" s="102">
        <v>0</v>
      </c>
      <c r="H117" s="102">
        <v>0</v>
      </c>
      <c r="I117" s="102">
        <v>0</v>
      </c>
      <c r="J117" s="102">
        <v>0</v>
      </c>
      <c r="K117" s="181"/>
      <c r="L117" s="182"/>
      <c r="M117" s="57"/>
    </row>
    <row r="118" spans="1:13" ht="23.1" customHeight="1" x14ac:dyDescent="0.25">
      <c r="A118" s="38"/>
      <c r="B118" s="76"/>
      <c r="C118" s="151">
        <v>0</v>
      </c>
      <c r="D118" s="104">
        <v>2023</v>
      </c>
      <c r="E118" s="102">
        <f t="shared" si="8"/>
        <v>0</v>
      </c>
      <c r="F118" s="120">
        <v>0</v>
      </c>
      <c r="G118" s="102">
        <v>0</v>
      </c>
      <c r="H118" s="102">
        <v>0</v>
      </c>
      <c r="I118" s="102">
        <v>0</v>
      </c>
      <c r="J118" s="102">
        <v>0</v>
      </c>
      <c r="K118" s="181"/>
      <c r="L118" s="182"/>
      <c r="M118" s="57"/>
    </row>
    <row r="119" spans="1:13" ht="23.1" customHeight="1" x14ac:dyDescent="0.25">
      <c r="A119" s="38"/>
      <c r="B119" s="76"/>
      <c r="C119" s="151">
        <v>0</v>
      </c>
      <c r="D119" s="104">
        <v>2024</v>
      </c>
      <c r="E119" s="102">
        <f t="shared" si="8"/>
        <v>0</v>
      </c>
      <c r="F119" s="120">
        <v>0</v>
      </c>
      <c r="G119" s="102">
        <v>0</v>
      </c>
      <c r="H119" s="102">
        <v>0</v>
      </c>
      <c r="I119" s="102">
        <v>0</v>
      </c>
      <c r="J119" s="102">
        <v>0</v>
      </c>
      <c r="K119" s="181"/>
      <c r="L119" s="182"/>
      <c r="M119" s="57"/>
    </row>
    <row r="120" spans="1:13" ht="23.1" customHeight="1" thickBot="1" x14ac:dyDescent="0.3">
      <c r="A120" s="38"/>
      <c r="B120" s="76"/>
      <c r="C120" s="153">
        <v>0</v>
      </c>
      <c r="D120" s="104">
        <v>2025</v>
      </c>
      <c r="E120" s="102">
        <f t="shared" si="8"/>
        <v>0</v>
      </c>
      <c r="F120" s="120">
        <v>0</v>
      </c>
      <c r="G120" s="102">
        <v>0</v>
      </c>
      <c r="H120" s="102">
        <v>0</v>
      </c>
      <c r="I120" s="102">
        <v>0</v>
      </c>
      <c r="J120" s="102">
        <v>0</v>
      </c>
      <c r="K120" s="181"/>
      <c r="L120" s="182"/>
      <c r="M120" s="57"/>
    </row>
    <row r="121" spans="1:13" s="147" customFormat="1" ht="23.1" customHeight="1" thickBot="1" x14ac:dyDescent="0.3">
      <c r="A121" s="38"/>
      <c r="B121" s="200"/>
      <c r="C121" s="206"/>
      <c r="D121" s="159">
        <v>2026</v>
      </c>
      <c r="E121" s="113">
        <f t="shared" si="8"/>
        <v>0</v>
      </c>
      <c r="F121" s="123">
        <v>0</v>
      </c>
      <c r="G121" s="113">
        <v>0</v>
      </c>
      <c r="H121" s="113">
        <v>0</v>
      </c>
      <c r="I121" s="113">
        <v>0</v>
      </c>
      <c r="J121" s="113">
        <v>0</v>
      </c>
      <c r="K121" s="184"/>
      <c r="L121" s="185"/>
      <c r="M121" s="207"/>
    </row>
    <row r="122" spans="1:13" ht="23.1" customHeight="1" x14ac:dyDescent="0.25">
      <c r="A122" s="38"/>
      <c r="B122" s="208" t="s">
        <v>42</v>
      </c>
      <c r="C122" s="205">
        <v>0</v>
      </c>
      <c r="D122" s="117">
        <v>2018</v>
      </c>
      <c r="E122" s="118">
        <f t="shared" si="8"/>
        <v>0</v>
      </c>
      <c r="F122" s="118">
        <v>0</v>
      </c>
      <c r="G122" s="118">
        <v>0</v>
      </c>
      <c r="H122" s="118">
        <v>0</v>
      </c>
      <c r="I122" s="118">
        <v>0</v>
      </c>
      <c r="J122" s="118">
        <v>0</v>
      </c>
      <c r="K122" s="209"/>
      <c r="L122" s="210"/>
      <c r="M122" s="57"/>
    </row>
    <row r="123" spans="1:13" ht="23.1" customHeight="1" x14ac:dyDescent="0.25">
      <c r="A123" s="38"/>
      <c r="B123" s="199"/>
      <c r="C123" s="148">
        <v>0</v>
      </c>
      <c r="D123" s="101">
        <v>2019</v>
      </c>
      <c r="E123" s="102">
        <f t="shared" si="8"/>
        <v>66.099999999999994</v>
      </c>
      <c r="F123" s="102">
        <v>0</v>
      </c>
      <c r="G123" s="102">
        <v>0</v>
      </c>
      <c r="H123" s="102">
        <v>66.099999999999994</v>
      </c>
      <c r="I123" s="102">
        <v>0</v>
      </c>
      <c r="J123" s="102">
        <v>0</v>
      </c>
      <c r="K123" s="211"/>
      <c r="L123" s="212"/>
      <c r="M123" s="57"/>
    </row>
    <row r="124" spans="1:13" ht="23.1" customHeight="1" x14ac:dyDescent="0.25">
      <c r="A124" s="38"/>
      <c r="B124" s="199"/>
      <c r="C124" s="148">
        <v>0</v>
      </c>
      <c r="D124" s="104">
        <v>2020</v>
      </c>
      <c r="E124" s="102">
        <f t="shared" si="8"/>
        <v>0</v>
      </c>
      <c r="F124" s="120">
        <v>0</v>
      </c>
      <c r="G124" s="102">
        <v>0</v>
      </c>
      <c r="H124" s="102">
        <v>0</v>
      </c>
      <c r="I124" s="102">
        <v>0</v>
      </c>
      <c r="J124" s="102">
        <v>0</v>
      </c>
      <c r="K124" s="211"/>
      <c r="L124" s="212"/>
      <c r="M124" s="57"/>
    </row>
    <row r="125" spans="1:13" ht="23.1" customHeight="1" x14ac:dyDescent="0.25">
      <c r="A125" s="38"/>
      <c r="B125" s="199"/>
      <c r="C125" s="151">
        <v>0</v>
      </c>
      <c r="D125" s="104">
        <v>2021</v>
      </c>
      <c r="E125" s="102">
        <f t="shared" si="8"/>
        <v>0</v>
      </c>
      <c r="F125" s="120">
        <v>0</v>
      </c>
      <c r="G125" s="102">
        <v>0</v>
      </c>
      <c r="H125" s="102">
        <v>0</v>
      </c>
      <c r="I125" s="102">
        <v>0</v>
      </c>
      <c r="J125" s="102">
        <v>0</v>
      </c>
      <c r="K125" s="211"/>
      <c r="L125" s="212"/>
      <c r="M125" s="57"/>
    </row>
    <row r="126" spans="1:13" ht="23.1" customHeight="1" x14ac:dyDescent="0.25">
      <c r="A126" s="38"/>
      <c r="B126" s="199"/>
      <c r="C126" s="151">
        <v>0</v>
      </c>
      <c r="D126" s="104">
        <v>2022</v>
      </c>
      <c r="E126" s="102">
        <f t="shared" si="8"/>
        <v>0</v>
      </c>
      <c r="F126" s="120">
        <v>0</v>
      </c>
      <c r="G126" s="102">
        <v>0</v>
      </c>
      <c r="H126" s="102">
        <v>0</v>
      </c>
      <c r="I126" s="102">
        <v>0</v>
      </c>
      <c r="J126" s="102">
        <v>0</v>
      </c>
      <c r="K126" s="211"/>
      <c r="L126" s="212"/>
      <c r="M126" s="57"/>
    </row>
    <row r="127" spans="1:13" ht="23.1" customHeight="1" x14ac:dyDescent="0.25">
      <c r="A127" s="38"/>
      <c r="B127" s="199"/>
      <c r="C127" s="151">
        <v>0</v>
      </c>
      <c r="D127" s="104">
        <v>2023</v>
      </c>
      <c r="E127" s="102">
        <f t="shared" si="8"/>
        <v>0</v>
      </c>
      <c r="F127" s="120">
        <v>0</v>
      </c>
      <c r="G127" s="102">
        <v>0</v>
      </c>
      <c r="H127" s="102">
        <v>0</v>
      </c>
      <c r="I127" s="102">
        <v>0</v>
      </c>
      <c r="J127" s="102">
        <v>0</v>
      </c>
      <c r="K127" s="211"/>
      <c r="L127" s="212"/>
      <c r="M127" s="57"/>
    </row>
    <row r="128" spans="1:13" ht="23.1" customHeight="1" x14ac:dyDescent="0.25">
      <c r="A128" s="38"/>
      <c r="B128" s="199"/>
      <c r="C128" s="151">
        <v>0</v>
      </c>
      <c r="D128" s="104">
        <v>2024</v>
      </c>
      <c r="E128" s="102">
        <f t="shared" si="8"/>
        <v>0</v>
      </c>
      <c r="F128" s="120">
        <v>0</v>
      </c>
      <c r="G128" s="102">
        <v>0</v>
      </c>
      <c r="H128" s="102">
        <v>0</v>
      </c>
      <c r="I128" s="102">
        <v>0</v>
      </c>
      <c r="J128" s="102">
        <v>0</v>
      </c>
      <c r="K128" s="211"/>
      <c r="L128" s="212"/>
      <c r="M128" s="57"/>
    </row>
    <row r="129" spans="1:13" ht="23.1" customHeight="1" x14ac:dyDescent="0.25">
      <c r="A129" s="38"/>
      <c r="B129" s="199"/>
      <c r="C129" s="151">
        <v>0</v>
      </c>
      <c r="D129" s="104">
        <v>2025</v>
      </c>
      <c r="E129" s="102">
        <f t="shared" si="8"/>
        <v>0</v>
      </c>
      <c r="F129" s="120">
        <v>0</v>
      </c>
      <c r="G129" s="102">
        <v>0</v>
      </c>
      <c r="H129" s="102">
        <v>0</v>
      </c>
      <c r="I129" s="102">
        <v>0</v>
      </c>
      <c r="J129" s="102">
        <v>0</v>
      </c>
      <c r="K129" s="211"/>
      <c r="L129" s="212"/>
      <c r="M129" s="57"/>
    </row>
    <row r="130" spans="1:13" ht="23.1" customHeight="1" x14ac:dyDescent="0.25">
      <c r="A130" s="38"/>
      <c r="B130" s="199"/>
      <c r="C130" s="151"/>
      <c r="D130" s="104">
        <v>2026</v>
      </c>
      <c r="E130" s="102">
        <f t="shared" si="8"/>
        <v>0</v>
      </c>
      <c r="F130" s="120">
        <v>0</v>
      </c>
      <c r="G130" s="102">
        <v>0</v>
      </c>
      <c r="H130" s="102">
        <v>0</v>
      </c>
      <c r="I130" s="102">
        <v>0</v>
      </c>
      <c r="J130" s="102">
        <v>0</v>
      </c>
      <c r="K130" s="211"/>
      <c r="L130" s="212"/>
      <c r="M130" s="57"/>
    </row>
    <row r="131" spans="1:13" ht="23.1" customHeight="1" x14ac:dyDescent="0.25">
      <c r="A131" s="38"/>
      <c r="B131" s="199" t="s">
        <v>173</v>
      </c>
      <c r="C131" s="148">
        <v>0</v>
      </c>
      <c r="D131" s="101">
        <v>2018</v>
      </c>
      <c r="E131" s="102">
        <f t="shared" si="8"/>
        <v>0</v>
      </c>
      <c r="F131" s="102">
        <v>0</v>
      </c>
      <c r="G131" s="102">
        <v>0</v>
      </c>
      <c r="H131" s="102">
        <v>0</v>
      </c>
      <c r="I131" s="102">
        <v>0</v>
      </c>
      <c r="J131" s="102">
        <v>0</v>
      </c>
      <c r="K131" s="211"/>
      <c r="L131" s="212"/>
      <c r="M131" s="57"/>
    </row>
    <row r="132" spans="1:13" ht="23.1" customHeight="1" x14ac:dyDescent="0.25">
      <c r="A132" s="38"/>
      <c r="B132" s="199"/>
      <c r="C132" s="148">
        <v>0</v>
      </c>
      <c r="D132" s="101">
        <v>2019</v>
      </c>
      <c r="E132" s="102">
        <f t="shared" si="8"/>
        <v>0</v>
      </c>
      <c r="F132" s="102">
        <v>0</v>
      </c>
      <c r="G132" s="102">
        <v>0</v>
      </c>
      <c r="H132" s="102">
        <v>0</v>
      </c>
      <c r="I132" s="102">
        <v>0</v>
      </c>
      <c r="J132" s="102">
        <v>0</v>
      </c>
      <c r="K132" s="211"/>
      <c r="L132" s="212"/>
      <c r="M132" s="57"/>
    </row>
    <row r="133" spans="1:13" ht="23.1" customHeight="1" x14ac:dyDescent="0.25">
      <c r="A133" s="38"/>
      <c r="B133" s="199"/>
      <c r="C133" s="148">
        <v>0</v>
      </c>
      <c r="D133" s="104">
        <v>2020</v>
      </c>
      <c r="E133" s="102">
        <f t="shared" si="8"/>
        <v>0</v>
      </c>
      <c r="F133" s="120">
        <v>0</v>
      </c>
      <c r="G133" s="102">
        <v>0</v>
      </c>
      <c r="H133" s="102">
        <v>0</v>
      </c>
      <c r="I133" s="102">
        <v>0</v>
      </c>
      <c r="J133" s="102">
        <v>0</v>
      </c>
      <c r="K133" s="211"/>
      <c r="L133" s="212"/>
      <c r="M133" s="57"/>
    </row>
    <row r="134" spans="1:13" ht="23.1" customHeight="1" x14ac:dyDescent="0.25">
      <c r="A134" s="38"/>
      <c r="B134" s="199"/>
      <c r="C134" s="151">
        <v>0</v>
      </c>
      <c r="D134" s="104">
        <v>2021</v>
      </c>
      <c r="E134" s="102">
        <f t="shared" si="8"/>
        <v>0</v>
      </c>
      <c r="F134" s="120">
        <v>0</v>
      </c>
      <c r="G134" s="102">
        <v>0</v>
      </c>
      <c r="H134" s="102">
        <v>0</v>
      </c>
      <c r="I134" s="102">
        <v>0</v>
      </c>
      <c r="J134" s="102">
        <v>0</v>
      </c>
      <c r="K134" s="211"/>
      <c r="L134" s="212"/>
      <c r="M134" s="57"/>
    </row>
    <row r="135" spans="1:13" ht="23.1" customHeight="1" x14ac:dyDescent="0.25">
      <c r="A135" s="38"/>
      <c r="B135" s="199"/>
      <c r="C135" s="151">
        <v>0</v>
      </c>
      <c r="D135" s="104">
        <v>2022</v>
      </c>
      <c r="E135" s="102">
        <f t="shared" si="8"/>
        <v>48.5</v>
      </c>
      <c r="F135" s="120">
        <v>0</v>
      </c>
      <c r="G135" s="102">
        <v>0</v>
      </c>
      <c r="H135" s="102">
        <v>48.5</v>
      </c>
      <c r="I135" s="102">
        <v>0</v>
      </c>
      <c r="J135" s="102">
        <v>0</v>
      </c>
      <c r="K135" s="211"/>
      <c r="L135" s="212"/>
      <c r="M135" s="57"/>
    </row>
    <row r="136" spans="1:13" ht="23.1" customHeight="1" x14ac:dyDescent="0.25">
      <c r="A136" s="38"/>
      <c r="B136" s="199"/>
      <c r="C136" s="151">
        <v>0</v>
      </c>
      <c r="D136" s="104">
        <v>2023</v>
      </c>
      <c r="E136" s="102">
        <f t="shared" si="8"/>
        <v>113.4</v>
      </c>
      <c r="F136" s="120">
        <v>0</v>
      </c>
      <c r="G136" s="102">
        <v>0</v>
      </c>
      <c r="H136" s="102">
        <v>113.4</v>
      </c>
      <c r="I136" s="102">
        <v>0</v>
      </c>
      <c r="J136" s="102">
        <v>0</v>
      </c>
      <c r="K136" s="211"/>
      <c r="L136" s="212"/>
      <c r="M136" s="57"/>
    </row>
    <row r="137" spans="1:13" ht="23.1" customHeight="1" x14ac:dyDescent="0.25">
      <c r="A137" s="38"/>
      <c r="B137" s="199"/>
      <c r="C137" s="151">
        <v>0</v>
      </c>
      <c r="D137" s="104">
        <v>2024</v>
      </c>
      <c r="E137" s="102">
        <f t="shared" si="8"/>
        <v>91.1</v>
      </c>
      <c r="F137" s="120">
        <v>0</v>
      </c>
      <c r="G137" s="102">
        <v>0</v>
      </c>
      <c r="H137" s="121">
        <v>91.1</v>
      </c>
      <c r="I137" s="102">
        <v>0</v>
      </c>
      <c r="J137" s="102">
        <v>0</v>
      </c>
      <c r="K137" s="211"/>
      <c r="L137" s="212"/>
      <c r="M137" s="57"/>
    </row>
    <row r="138" spans="1:13" ht="23.1" customHeight="1" x14ac:dyDescent="0.25">
      <c r="A138" s="38"/>
      <c r="B138" s="199"/>
      <c r="C138" s="151">
        <v>0</v>
      </c>
      <c r="D138" s="104">
        <v>2025</v>
      </c>
      <c r="E138" s="102">
        <f t="shared" si="8"/>
        <v>98.7</v>
      </c>
      <c r="F138" s="120">
        <v>0</v>
      </c>
      <c r="G138" s="102">
        <v>0</v>
      </c>
      <c r="H138" s="121">
        <v>98.7</v>
      </c>
      <c r="I138" s="102">
        <v>0</v>
      </c>
      <c r="J138" s="102">
        <v>0</v>
      </c>
      <c r="K138" s="211"/>
      <c r="L138" s="212"/>
      <c r="M138" s="57"/>
    </row>
    <row r="139" spans="1:13" ht="23.1" customHeight="1" x14ac:dyDescent="0.25">
      <c r="A139" s="38"/>
      <c r="B139" s="199"/>
      <c r="C139" s="151"/>
      <c r="D139" s="104">
        <v>2026</v>
      </c>
      <c r="E139" s="102">
        <f t="shared" ref="E139" si="12">F139+G139+H139+J139</f>
        <v>98.7</v>
      </c>
      <c r="F139" s="120">
        <v>0</v>
      </c>
      <c r="G139" s="102">
        <v>0</v>
      </c>
      <c r="H139" s="121">
        <v>98.7</v>
      </c>
      <c r="I139" s="102">
        <v>0</v>
      </c>
      <c r="J139" s="102">
        <v>0</v>
      </c>
      <c r="K139" s="211"/>
      <c r="L139" s="212"/>
      <c r="M139" s="57"/>
    </row>
    <row r="140" spans="1:13" ht="23.1" customHeight="1" x14ac:dyDescent="0.25">
      <c r="A140" s="38"/>
      <c r="B140" s="199"/>
      <c r="C140" s="151"/>
      <c r="D140" s="104">
        <v>2027</v>
      </c>
      <c r="E140" s="102">
        <f t="shared" si="8"/>
        <v>98.7</v>
      </c>
      <c r="F140" s="120">
        <v>0</v>
      </c>
      <c r="G140" s="102">
        <v>0</v>
      </c>
      <c r="H140" s="121">
        <v>98.7</v>
      </c>
      <c r="I140" s="102">
        <v>0</v>
      </c>
      <c r="J140" s="102">
        <v>0</v>
      </c>
      <c r="K140" s="211"/>
      <c r="L140" s="212"/>
      <c r="M140" s="57"/>
    </row>
    <row r="141" spans="1:13" ht="23.1" customHeight="1" x14ac:dyDescent="0.25">
      <c r="A141" s="38"/>
      <c r="B141" s="199" t="s">
        <v>43</v>
      </c>
      <c r="C141" s="148">
        <v>0</v>
      </c>
      <c r="D141" s="101">
        <v>2018</v>
      </c>
      <c r="E141" s="102">
        <f t="shared" si="8"/>
        <v>57977.1</v>
      </c>
      <c r="F141" s="102">
        <v>0</v>
      </c>
      <c r="G141" s="102">
        <v>0</v>
      </c>
      <c r="H141" s="102">
        <v>0</v>
      </c>
      <c r="I141" s="102">
        <v>0</v>
      </c>
      <c r="J141" s="102">
        <v>57977.1</v>
      </c>
      <c r="K141" s="211"/>
      <c r="L141" s="212"/>
      <c r="M141" s="57"/>
    </row>
    <row r="142" spans="1:13" ht="23.1" customHeight="1" x14ac:dyDescent="0.25">
      <c r="A142" s="38"/>
      <c r="B142" s="199"/>
      <c r="C142" s="148">
        <v>0</v>
      </c>
      <c r="D142" s="101">
        <v>2019</v>
      </c>
      <c r="E142" s="102">
        <f t="shared" si="8"/>
        <v>59231.3</v>
      </c>
      <c r="F142" s="102">
        <v>0</v>
      </c>
      <c r="G142" s="102">
        <v>0</v>
      </c>
      <c r="H142" s="102">
        <v>0</v>
      </c>
      <c r="I142" s="102">
        <v>0</v>
      </c>
      <c r="J142" s="102">
        <v>59231.3</v>
      </c>
      <c r="K142" s="211"/>
      <c r="L142" s="212"/>
      <c r="M142" s="57"/>
    </row>
    <row r="143" spans="1:13" ht="23.1" customHeight="1" x14ac:dyDescent="0.25">
      <c r="A143" s="38"/>
      <c r="B143" s="199"/>
      <c r="C143" s="148">
        <v>0</v>
      </c>
      <c r="D143" s="104">
        <v>2020</v>
      </c>
      <c r="E143" s="102">
        <f t="shared" si="8"/>
        <v>70551.899999999994</v>
      </c>
      <c r="F143" s="120">
        <v>0</v>
      </c>
      <c r="G143" s="102">
        <v>0</v>
      </c>
      <c r="H143" s="102">
        <v>0</v>
      </c>
      <c r="I143" s="102">
        <v>0</v>
      </c>
      <c r="J143" s="102">
        <v>70551.899999999994</v>
      </c>
      <c r="K143" s="211"/>
      <c r="L143" s="212"/>
      <c r="M143" s="57"/>
    </row>
    <row r="144" spans="1:13" ht="23.1" customHeight="1" x14ac:dyDescent="0.25">
      <c r="A144" s="38"/>
      <c r="B144" s="199"/>
      <c r="C144" s="151">
        <v>0</v>
      </c>
      <c r="D144" s="104">
        <v>2021</v>
      </c>
      <c r="E144" s="102">
        <f t="shared" si="8"/>
        <v>69547.399999999994</v>
      </c>
      <c r="F144" s="120">
        <v>0</v>
      </c>
      <c r="G144" s="102">
        <v>0</v>
      </c>
      <c r="H144" s="102">
        <v>0</v>
      </c>
      <c r="I144" s="102">
        <v>0</v>
      </c>
      <c r="J144" s="102">
        <v>69547.399999999994</v>
      </c>
      <c r="K144" s="211"/>
      <c r="L144" s="212"/>
      <c r="M144" s="57"/>
    </row>
    <row r="145" spans="1:13" ht="23.1" customHeight="1" x14ac:dyDescent="0.25">
      <c r="A145" s="38"/>
      <c r="B145" s="199"/>
      <c r="C145" s="151">
        <v>0</v>
      </c>
      <c r="D145" s="104">
        <v>2022</v>
      </c>
      <c r="E145" s="102">
        <f t="shared" si="8"/>
        <v>83610.2</v>
      </c>
      <c r="F145" s="120">
        <v>0</v>
      </c>
      <c r="G145" s="102">
        <v>0</v>
      </c>
      <c r="H145" s="102">
        <v>0</v>
      </c>
      <c r="I145" s="102">
        <v>0</v>
      </c>
      <c r="J145" s="102">
        <f>108133.9-6423.7-18100</f>
        <v>83610.2</v>
      </c>
      <c r="K145" s="211"/>
      <c r="L145" s="212"/>
      <c r="M145" s="57"/>
    </row>
    <row r="146" spans="1:13" ht="23.1" customHeight="1" x14ac:dyDescent="0.25">
      <c r="A146" s="38"/>
      <c r="B146" s="199"/>
      <c r="C146" s="151">
        <v>0</v>
      </c>
      <c r="D146" s="104">
        <v>2023</v>
      </c>
      <c r="E146" s="102">
        <f t="shared" si="8"/>
        <v>83561.600000000006</v>
      </c>
      <c r="F146" s="120">
        <v>0</v>
      </c>
      <c r="G146" s="102">
        <v>0</v>
      </c>
      <c r="H146" s="102">
        <v>0</v>
      </c>
      <c r="I146" s="102">
        <v>0</v>
      </c>
      <c r="J146" s="102">
        <f>93314.1-9752.5</f>
        <v>83561.600000000006</v>
      </c>
      <c r="K146" s="211"/>
      <c r="L146" s="212"/>
      <c r="M146" s="57"/>
    </row>
    <row r="147" spans="1:13" ht="23.1" customHeight="1" x14ac:dyDescent="0.25">
      <c r="A147" s="38"/>
      <c r="B147" s="199"/>
      <c r="C147" s="151">
        <v>0</v>
      </c>
      <c r="D147" s="104">
        <v>2024</v>
      </c>
      <c r="E147" s="102">
        <f t="shared" si="8"/>
        <v>104084.70000000001</v>
      </c>
      <c r="F147" s="120">
        <v>0</v>
      </c>
      <c r="G147" s="102">
        <v>0</v>
      </c>
      <c r="H147" s="102">
        <v>0</v>
      </c>
      <c r="I147" s="102">
        <v>0</v>
      </c>
      <c r="J147" s="102">
        <f>83561.6+20523.1</f>
        <v>104084.70000000001</v>
      </c>
      <c r="K147" s="211"/>
      <c r="L147" s="212"/>
      <c r="M147" s="57"/>
    </row>
    <row r="148" spans="1:13" ht="23.1" customHeight="1" x14ac:dyDescent="0.25">
      <c r="A148" s="38"/>
      <c r="B148" s="199"/>
      <c r="C148" s="151">
        <v>0</v>
      </c>
      <c r="D148" s="104">
        <v>2025</v>
      </c>
      <c r="E148" s="102">
        <f t="shared" si="8"/>
        <v>104084.7</v>
      </c>
      <c r="F148" s="120">
        <v>0</v>
      </c>
      <c r="G148" s="102">
        <v>0</v>
      </c>
      <c r="H148" s="102">
        <v>0</v>
      </c>
      <c r="I148" s="102">
        <v>0</v>
      </c>
      <c r="J148" s="102">
        <v>104084.7</v>
      </c>
      <c r="K148" s="211"/>
      <c r="L148" s="212"/>
      <c r="M148" s="57"/>
    </row>
    <row r="149" spans="1:13" ht="23.1" customHeight="1" x14ac:dyDescent="0.25">
      <c r="A149" s="38"/>
      <c r="B149" s="213"/>
      <c r="C149" s="153"/>
      <c r="D149" s="108">
        <v>2026</v>
      </c>
      <c r="E149" s="102">
        <f t="shared" ref="E149" si="13">F149+G149+H149+J149</f>
        <v>104084.7</v>
      </c>
      <c r="F149" s="120">
        <v>0</v>
      </c>
      <c r="G149" s="102">
        <v>0</v>
      </c>
      <c r="H149" s="102">
        <v>0</v>
      </c>
      <c r="I149" s="102">
        <v>0</v>
      </c>
      <c r="J149" s="102">
        <v>104084.7</v>
      </c>
      <c r="K149" s="214"/>
      <c r="L149" s="215"/>
      <c r="M149" s="57"/>
    </row>
    <row r="150" spans="1:13" ht="23.1" customHeight="1" thickBot="1" x14ac:dyDescent="0.3">
      <c r="A150" s="39"/>
      <c r="B150" s="216"/>
      <c r="C150" s="158"/>
      <c r="D150" s="122">
        <v>2027</v>
      </c>
      <c r="E150" s="201">
        <f t="shared" si="8"/>
        <v>104084.7</v>
      </c>
      <c r="F150" s="202">
        <v>0</v>
      </c>
      <c r="G150" s="201">
        <v>0</v>
      </c>
      <c r="H150" s="201">
        <v>0</v>
      </c>
      <c r="I150" s="201">
        <v>0</v>
      </c>
      <c r="J150" s="201">
        <v>104084.7</v>
      </c>
      <c r="K150" s="217"/>
      <c r="L150" s="218"/>
      <c r="M150" s="57"/>
    </row>
    <row r="151" spans="1:13" ht="23.1" customHeight="1" x14ac:dyDescent="0.25">
      <c r="A151" s="38" t="s">
        <v>45</v>
      </c>
      <c r="B151" s="219" t="s">
        <v>46</v>
      </c>
      <c r="C151" s="205">
        <v>0</v>
      </c>
      <c r="D151" s="117">
        <v>2018</v>
      </c>
      <c r="E151" s="118">
        <f t="shared" si="8"/>
        <v>672006.2</v>
      </c>
      <c r="F151" s="118">
        <v>0</v>
      </c>
      <c r="G151" s="118">
        <f>G161</f>
        <v>542844.5</v>
      </c>
      <c r="H151" s="118">
        <f t="shared" ref="H151:H160" si="14">H161+H181+H191+H201+H211+H221</f>
        <v>129161.70000000001</v>
      </c>
      <c r="I151" s="118">
        <v>0</v>
      </c>
      <c r="J151" s="118">
        <v>0</v>
      </c>
      <c r="K151" s="119" t="s">
        <v>181</v>
      </c>
      <c r="L151" s="220" t="s">
        <v>31</v>
      </c>
      <c r="M151" s="57"/>
    </row>
    <row r="152" spans="1:13" ht="23.1" customHeight="1" x14ac:dyDescent="0.25">
      <c r="A152" s="38"/>
      <c r="B152" s="199"/>
      <c r="C152" s="148">
        <v>0</v>
      </c>
      <c r="D152" s="101">
        <v>2019</v>
      </c>
      <c r="E152" s="102">
        <f t="shared" si="8"/>
        <v>726214.6</v>
      </c>
      <c r="F152" s="102">
        <v>0</v>
      </c>
      <c r="G152" s="102">
        <f t="shared" ref="G152:G155" si="15">G162</f>
        <v>579302.19999999995</v>
      </c>
      <c r="H152" s="102">
        <f t="shared" si="14"/>
        <v>146912.40000000002</v>
      </c>
      <c r="I152" s="102">
        <v>0</v>
      </c>
      <c r="J152" s="102">
        <v>0</v>
      </c>
      <c r="K152" s="103"/>
      <c r="L152" s="149"/>
      <c r="M152" s="57"/>
    </row>
    <row r="153" spans="1:13" ht="23.1" customHeight="1" x14ac:dyDescent="0.25">
      <c r="A153" s="38"/>
      <c r="B153" s="199"/>
      <c r="C153" s="148">
        <v>0</v>
      </c>
      <c r="D153" s="104">
        <v>2020</v>
      </c>
      <c r="E153" s="102">
        <f t="shared" si="8"/>
        <v>761500.89999999991</v>
      </c>
      <c r="F153" s="120">
        <v>0</v>
      </c>
      <c r="G153" s="102">
        <f t="shared" si="15"/>
        <v>611447.6</v>
      </c>
      <c r="H153" s="102">
        <f t="shared" si="14"/>
        <v>150053.29999999999</v>
      </c>
      <c r="I153" s="102">
        <v>0</v>
      </c>
      <c r="J153" s="102">
        <v>0</v>
      </c>
      <c r="K153" s="103"/>
      <c r="L153" s="149"/>
      <c r="M153" s="57"/>
    </row>
    <row r="154" spans="1:13" ht="23.1" customHeight="1" x14ac:dyDescent="0.25">
      <c r="A154" s="38"/>
      <c r="B154" s="199"/>
      <c r="C154" s="151">
        <v>0</v>
      </c>
      <c r="D154" s="104">
        <v>2021</v>
      </c>
      <c r="E154" s="102">
        <f t="shared" si="8"/>
        <v>812507.1</v>
      </c>
      <c r="F154" s="120">
        <v>0</v>
      </c>
      <c r="G154" s="102">
        <f t="shared" si="15"/>
        <v>616452.1</v>
      </c>
      <c r="H154" s="102">
        <f t="shared" si="14"/>
        <v>196055</v>
      </c>
      <c r="I154" s="102">
        <v>0</v>
      </c>
      <c r="J154" s="102">
        <v>0</v>
      </c>
      <c r="K154" s="103"/>
      <c r="L154" s="149"/>
      <c r="M154" s="57"/>
    </row>
    <row r="155" spans="1:13" ht="23.1" customHeight="1" x14ac:dyDescent="0.25">
      <c r="A155" s="38"/>
      <c r="B155" s="199"/>
      <c r="C155" s="151">
        <v>0</v>
      </c>
      <c r="D155" s="104">
        <v>2022</v>
      </c>
      <c r="E155" s="102">
        <f t="shared" si="8"/>
        <v>856518.10000000009</v>
      </c>
      <c r="F155" s="120">
        <v>0</v>
      </c>
      <c r="G155" s="102">
        <f t="shared" si="15"/>
        <v>655177.30000000005</v>
      </c>
      <c r="H155" s="102">
        <f t="shared" si="14"/>
        <v>201340.80000000002</v>
      </c>
      <c r="I155" s="102">
        <v>0</v>
      </c>
      <c r="J155" s="102">
        <v>0</v>
      </c>
      <c r="K155" s="103"/>
      <c r="L155" s="149"/>
      <c r="M155" s="57"/>
    </row>
    <row r="156" spans="1:13" ht="23.1" customHeight="1" x14ac:dyDescent="0.25">
      <c r="A156" s="38"/>
      <c r="B156" s="199"/>
      <c r="C156" s="151">
        <v>0</v>
      </c>
      <c r="D156" s="104">
        <v>2023</v>
      </c>
      <c r="E156" s="102">
        <f t="shared" si="8"/>
        <v>991757.89999999991</v>
      </c>
      <c r="F156" s="120">
        <v>0</v>
      </c>
      <c r="G156" s="102">
        <f>G166+G176</f>
        <v>756043.39999999991</v>
      </c>
      <c r="H156" s="102">
        <f t="shared" si="14"/>
        <v>235714.49999999997</v>
      </c>
      <c r="I156" s="102">
        <v>0</v>
      </c>
      <c r="J156" s="102">
        <v>0</v>
      </c>
      <c r="K156" s="103"/>
      <c r="L156" s="149"/>
      <c r="M156" s="57"/>
    </row>
    <row r="157" spans="1:13" ht="23.1" customHeight="1" x14ac:dyDescent="0.25">
      <c r="A157" s="38"/>
      <c r="B157" s="199"/>
      <c r="C157" s="151">
        <v>0</v>
      </c>
      <c r="D157" s="104">
        <v>2024</v>
      </c>
      <c r="E157" s="102">
        <f t="shared" si="8"/>
        <v>1211718.1000000001</v>
      </c>
      <c r="F157" s="120">
        <v>0</v>
      </c>
      <c r="G157" s="102">
        <f>G167+G177</f>
        <v>965081.10000000009</v>
      </c>
      <c r="H157" s="102">
        <f t="shared" si="14"/>
        <v>246637</v>
      </c>
      <c r="I157" s="102">
        <v>0</v>
      </c>
      <c r="J157" s="102">
        <v>0</v>
      </c>
      <c r="K157" s="103"/>
      <c r="L157" s="149"/>
      <c r="M157" s="57"/>
    </row>
    <row r="158" spans="1:13" ht="23.1" customHeight="1" x14ac:dyDescent="0.25">
      <c r="A158" s="38"/>
      <c r="B158" s="199"/>
      <c r="C158" s="151">
        <v>0</v>
      </c>
      <c r="D158" s="104">
        <v>2025</v>
      </c>
      <c r="E158" s="102">
        <f t="shared" si="8"/>
        <v>1418902</v>
      </c>
      <c r="F158" s="120">
        <v>0</v>
      </c>
      <c r="G158" s="102">
        <f>G168+G178</f>
        <v>1100809.1000000001</v>
      </c>
      <c r="H158" s="102">
        <f t="shared" si="14"/>
        <v>318092.89999999997</v>
      </c>
      <c r="I158" s="102">
        <v>0</v>
      </c>
      <c r="J158" s="102">
        <v>0</v>
      </c>
      <c r="K158" s="103"/>
      <c r="L158" s="149"/>
      <c r="M158" s="57"/>
    </row>
    <row r="159" spans="1:13" ht="23.1" customHeight="1" x14ac:dyDescent="0.25">
      <c r="A159" s="38"/>
      <c r="B159" s="199"/>
      <c r="C159" s="151"/>
      <c r="D159" s="104">
        <v>2026</v>
      </c>
      <c r="E159" s="102">
        <f t="shared" ref="E159" si="16">F159+G159+H159+J159</f>
        <v>1484998</v>
      </c>
      <c r="F159" s="120">
        <v>0</v>
      </c>
      <c r="G159" s="102">
        <f>G169+G179</f>
        <v>1165304.1000000001</v>
      </c>
      <c r="H159" s="102">
        <f t="shared" si="14"/>
        <v>319693.89999999991</v>
      </c>
      <c r="I159" s="102">
        <v>0</v>
      </c>
      <c r="J159" s="102">
        <v>0</v>
      </c>
      <c r="K159" s="103"/>
      <c r="L159" s="149"/>
      <c r="M159" s="57"/>
    </row>
    <row r="160" spans="1:13" ht="23.1" customHeight="1" x14ac:dyDescent="0.25">
      <c r="A160" s="38"/>
      <c r="B160" s="199"/>
      <c r="C160" s="151"/>
      <c r="D160" s="104">
        <v>2027</v>
      </c>
      <c r="E160" s="102">
        <f t="shared" si="8"/>
        <v>1543727</v>
      </c>
      <c r="F160" s="120">
        <v>0</v>
      </c>
      <c r="G160" s="102">
        <f>G170+G180</f>
        <v>1222277.8</v>
      </c>
      <c r="H160" s="102">
        <f t="shared" si="14"/>
        <v>321449.19999999995</v>
      </c>
      <c r="I160" s="102">
        <v>0</v>
      </c>
      <c r="J160" s="102">
        <v>0</v>
      </c>
      <c r="K160" s="103"/>
      <c r="L160" s="149"/>
      <c r="M160" s="57"/>
    </row>
    <row r="161" spans="1:13" ht="23.1" customHeight="1" x14ac:dyDescent="0.25">
      <c r="A161" s="38"/>
      <c r="B161" s="199" t="s">
        <v>47</v>
      </c>
      <c r="C161" s="148">
        <v>0</v>
      </c>
      <c r="D161" s="101">
        <v>2018</v>
      </c>
      <c r="E161" s="102">
        <f t="shared" si="8"/>
        <v>660511.30000000005</v>
      </c>
      <c r="F161" s="102">
        <v>0</v>
      </c>
      <c r="G161" s="102">
        <v>542844.5</v>
      </c>
      <c r="H161" s="102">
        <v>117666.8</v>
      </c>
      <c r="I161" s="102">
        <v>0</v>
      </c>
      <c r="J161" s="102">
        <v>0</v>
      </c>
      <c r="K161" s="103"/>
      <c r="L161" s="149"/>
      <c r="M161" s="57"/>
    </row>
    <row r="162" spans="1:13" ht="23.1" customHeight="1" x14ac:dyDescent="0.25">
      <c r="A162" s="38"/>
      <c r="B162" s="199"/>
      <c r="C162" s="148">
        <v>0</v>
      </c>
      <c r="D162" s="101">
        <v>2019</v>
      </c>
      <c r="E162" s="102">
        <f t="shared" si="8"/>
        <v>704263.2</v>
      </c>
      <c r="F162" s="102">
        <v>0</v>
      </c>
      <c r="G162" s="102">
        <v>579302.19999999995</v>
      </c>
      <c r="H162" s="102">
        <v>124961</v>
      </c>
      <c r="I162" s="102">
        <v>0</v>
      </c>
      <c r="J162" s="102">
        <v>0</v>
      </c>
      <c r="K162" s="103"/>
      <c r="L162" s="149"/>
      <c r="M162" s="57"/>
    </row>
    <row r="163" spans="1:13" ht="23.1" customHeight="1" x14ac:dyDescent="0.25">
      <c r="A163" s="38"/>
      <c r="B163" s="199"/>
      <c r="C163" s="148">
        <v>0</v>
      </c>
      <c r="D163" s="104">
        <v>2020</v>
      </c>
      <c r="E163" s="102">
        <f t="shared" si="8"/>
        <v>746389</v>
      </c>
      <c r="F163" s="120">
        <v>0</v>
      </c>
      <c r="G163" s="102">
        <v>611447.6</v>
      </c>
      <c r="H163" s="102">
        <v>134941.4</v>
      </c>
      <c r="I163" s="102">
        <v>0</v>
      </c>
      <c r="J163" s="102">
        <v>0</v>
      </c>
      <c r="K163" s="103"/>
      <c r="L163" s="149"/>
      <c r="M163" s="57"/>
    </row>
    <row r="164" spans="1:13" ht="23.1" customHeight="1" x14ac:dyDescent="0.25">
      <c r="A164" s="38"/>
      <c r="B164" s="199"/>
      <c r="C164" s="151">
        <v>0</v>
      </c>
      <c r="D164" s="104">
        <v>2021</v>
      </c>
      <c r="E164" s="102">
        <f t="shared" si="8"/>
        <v>788161.1</v>
      </c>
      <c r="F164" s="120">
        <v>0</v>
      </c>
      <c r="G164" s="102">
        <v>616452.1</v>
      </c>
      <c r="H164" s="102">
        <v>171709</v>
      </c>
      <c r="I164" s="102">
        <v>0</v>
      </c>
      <c r="J164" s="102">
        <v>0</v>
      </c>
      <c r="K164" s="103"/>
      <c r="L164" s="149"/>
      <c r="M164" s="57"/>
    </row>
    <row r="165" spans="1:13" ht="23.1" customHeight="1" x14ac:dyDescent="0.25">
      <c r="A165" s="38"/>
      <c r="B165" s="199"/>
      <c r="C165" s="151">
        <v>0</v>
      </c>
      <c r="D165" s="104">
        <v>2022</v>
      </c>
      <c r="E165" s="102">
        <f t="shared" si="8"/>
        <v>844913.3</v>
      </c>
      <c r="F165" s="120">
        <v>0</v>
      </c>
      <c r="G165" s="102">
        <f>618230.9+30755+6191.4</f>
        <v>655177.30000000005</v>
      </c>
      <c r="H165" s="102">
        <f>181469.6+167+1957.7+2531.9+3609.8</f>
        <v>189736</v>
      </c>
      <c r="I165" s="102">
        <v>0</v>
      </c>
      <c r="J165" s="102">
        <v>0</v>
      </c>
      <c r="K165" s="103"/>
      <c r="L165" s="149"/>
      <c r="M165" s="57"/>
    </row>
    <row r="166" spans="1:13" ht="23.1" customHeight="1" x14ac:dyDescent="0.25">
      <c r="A166" s="38"/>
      <c r="B166" s="199"/>
      <c r="C166" s="151">
        <v>0</v>
      </c>
      <c r="D166" s="104">
        <v>2023</v>
      </c>
      <c r="E166" s="102">
        <f t="shared" si="8"/>
        <v>879267.5</v>
      </c>
      <c r="F166" s="120">
        <v>0</v>
      </c>
      <c r="G166" s="102">
        <f>629345.1+17325.4+1431.7+1337+11148</f>
        <v>660587.19999999995</v>
      </c>
      <c r="H166" s="102">
        <f>208259.8+2449.1+565.4+401.5+1498.9+5236.2+250+292-470.6+198</f>
        <v>218680.3</v>
      </c>
      <c r="I166" s="102">
        <v>0</v>
      </c>
      <c r="J166" s="102">
        <v>0</v>
      </c>
      <c r="K166" s="103"/>
      <c r="L166" s="149"/>
      <c r="M166" s="57"/>
    </row>
    <row r="167" spans="1:13" ht="23.1" customHeight="1" x14ac:dyDescent="0.25">
      <c r="A167" s="38"/>
      <c r="B167" s="199"/>
      <c r="C167" s="151">
        <v>0</v>
      </c>
      <c r="D167" s="104">
        <v>2024</v>
      </c>
      <c r="E167" s="102">
        <f>F167+G167+H167+J167</f>
        <v>1033359.3</v>
      </c>
      <c r="F167" s="120">
        <v>0</v>
      </c>
      <c r="G167" s="121">
        <f>817152.3-G177-2693.1-3311+104002.3+49930.6</f>
        <v>807787.50000000012</v>
      </c>
      <c r="H167" s="121">
        <f>229379.5-3291.7-460-56</f>
        <v>225571.8</v>
      </c>
      <c r="I167" s="102">
        <v>0</v>
      </c>
      <c r="J167" s="102">
        <v>0</v>
      </c>
      <c r="K167" s="103"/>
      <c r="L167" s="149"/>
      <c r="M167" s="57"/>
    </row>
    <row r="168" spans="1:13" ht="23.1" customHeight="1" x14ac:dyDescent="0.25">
      <c r="A168" s="38"/>
      <c r="B168" s="199"/>
      <c r="C168" s="151">
        <v>0</v>
      </c>
      <c r="D168" s="104">
        <v>2025</v>
      </c>
      <c r="E168" s="102">
        <f t="shared" si="8"/>
        <v>1294182.5</v>
      </c>
      <c r="F168" s="120">
        <v>0</v>
      </c>
      <c r="G168" s="121">
        <f>1100809.1-G178</f>
        <v>1006886.4000000001</v>
      </c>
      <c r="H168" s="121">
        <v>287296.09999999998</v>
      </c>
      <c r="I168" s="102">
        <v>0</v>
      </c>
      <c r="J168" s="102">
        <v>0</v>
      </c>
      <c r="K168" s="103"/>
      <c r="L168" s="149"/>
      <c r="M168" s="57"/>
    </row>
    <row r="169" spans="1:13" ht="23.1" customHeight="1" x14ac:dyDescent="0.25">
      <c r="A169" s="38"/>
      <c r="B169" s="199"/>
      <c r="C169" s="151"/>
      <c r="D169" s="104">
        <v>2026</v>
      </c>
      <c r="E169" s="102">
        <f t="shared" ref="E169" si="17">F169+G169+H169+J169</f>
        <v>1359470.7000000002</v>
      </c>
      <c r="F169" s="120">
        <v>0</v>
      </c>
      <c r="G169" s="121">
        <f>1165304.1-G179</f>
        <v>1072174.6000000001</v>
      </c>
      <c r="H169" s="121">
        <v>287296.09999999998</v>
      </c>
      <c r="I169" s="102">
        <v>0</v>
      </c>
      <c r="J169" s="102">
        <v>0</v>
      </c>
      <c r="K169" s="103"/>
      <c r="L169" s="149"/>
      <c r="M169" s="57"/>
    </row>
    <row r="170" spans="1:13" ht="23.1" customHeight="1" x14ac:dyDescent="0.25">
      <c r="A170" s="38"/>
      <c r="B170" s="199"/>
      <c r="C170" s="151"/>
      <c r="D170" s="104">
        <v>2027</v>
      </c>
      <c r="E170" s="102">
        <f t="shared" si="8"/>
        <v>1416444.4</v>
      </c>
      <c r="F170" s="120">
        <v>0</v>
      </c>
      <c r="G170" s="121">
        <f>1222277.8-G180</f>
        <v>1129148.3</v>
      </c>
      <c r="H170" s="121">
        <v>287296.09999999998</v>
      </c>
      <c r="I170" s="102">
        <v>0</v>
      </c>
      <c r="J170" s="102">
        <v>0</v>
      </c>
      <c r="K170" s="103"/>
      <c r="L170" s="149"/>
      <c r="M170" s="57"/>
    </row>
    <row r="171" spans="1:13" ht="23.1" customHeight="1" x14ac:dyDescent="0.25">
      <c r="A171" s="38"/>
      <c r="B171" s="199" t="s">
        <v>190</v>
      </c>
      <c r="C171" s="148">
        <v>0</v>
      </c>
      <c r="D171" s="101">
        <v>2018</v>
      </c>
      <c r="E171" s="102">
        <f t="shared" si="8"/>
        <v>0</v>
      </c>
      <c r="F171" s="102">
        <v>0</v>
      </c>
      <c r="G171" s="102">
        <v>0</v>
      </c>
      <c r="H171" s="102">
        <v>0</v>
      </c>
      <c r="I171" s="102">
        <v>0</v>
      </c>
      <c r="J171" s="102">
        <v>0</v>
      </c>
      <c r="K171" s="103"/>
      <c r="L171" s="149"/>
      <c r="M171" s="57"/>
    </row>
    <row r="172" spans="1:13" ht="23.1" customHeight="1" x14ac:dyDescent="0.25">
      <c r="A172" s="38"/>
      <c r="B172" s="199"/>
      <c r="C172" s="148">
        <v>0</v>
      </c>
      <c r="D172" s="101">
        <v>2019</v>
      </c>
      <c r="E172" s="102">
        <f t="shared" si="8"/>
        <v>0</v>
      </c>
      <c r="F172" s="102">
        <v>0</v>
      </c>
      <c r="G172" s="102">
        <v>0</v>
      </c>
      <c r="H172" s="102">
        <v>0</v>
      </c>
      <c r="I172" s="102">
        <v>0</v>
      </c>
      <c r="J172" s="102">
        <v>0</v>
      </c>
      <c r="K172" s="103"/>
      <c r="L172" s="149"/>
      <c r="M172" s="57"/>
    </row>
    <row r="173" spans="1:13" ht="23.1" customHeight="1" x14ac:dyDescent="0.25">
      <c r="A173" s="38"/>
      <c r="B173" s="199"/>
      <c r="C173" s="148">
        <v>0</v>
      </c>
      <c r="D173" s="104">
        <v>2020</v>
      </c>
      <c r="E173" s="102">
        <f t="shared" si="8"/>
        <v>0</v>
      </c>
      <c r="F173" s="120">
        <v>0</v>
      </c>
      <c r="G173" s="102">
        <v>0</v>
      </c>
      <c r="H173" s="102">
        <v>0</v>
      </c>
      <c r="I173" s="102">
        <v>0</v>
      </c>
      <c r="J173" s="102">
        <v>0</v>
      </c>
      <c r="K173" s="103"/>
      <c r="L173" s="149"/>
      <c r="M173" s="57"/>
    </row>
    <row r="174" spans="1:13" ht="23.1" customHeight="1" x14ac:dyDescent="0.25">
      <c r="A174" s="38"/>
      <c r="B174" s="199"/>
      <c r="C174" s="151">
        <v>0</v>
      </c>
      <c r="D174" s="104">
        <v>2021</v>
      </c>
      <c r="E174" s="102">
        <f t="shared" si="8"/>
        <v>0</v>
      </c>
      <c r="F174" s="120">
        <v>0</v>
      </c>
      <c r="G174" s="102">
        <v>0</v>
      </c>
      <c r="H174" s="102">
        <v>0</v>
      </c>
      <c r="I174" s="102">
        <v>0</v>
      </c>
      <c r="J174" s="102">
        <v>0</v>
      </c>
      <c r="K174" s="103"/>
      <c r="L174" s="149"/>
      <c r="M174" s="57"/>
    </row>
    <row r="175" spans="1:13" ht="23.1" customHeight="1" x14ac:dyDescent="0.25">
      <c r="A175" s="38"/>
      <c r="B175" s="199"/>
      <c r="C175" s="151">
        <v>0</v>
      </c>
      <c r="D175" s="104">
        <v>2022</v>
      </c>
      <c r="E175" s="102">
        <f t="shared" si="8"/>
        <v>0</v>
      </c>
      <c r="F175" s="120">
        <v>0</v>
      </c>
      <c r="G175" s="102">
        <v>0</v>
      </c>
      <c r="H175" s="102">
        <v>0</v>
      </c>
      <c r="I175" s="102">
        <v>0</v>
      </c>
      <c r="J175" s="102">
        <v>0</v>
      </c>
      <c r="K175" s="103"/>
      <c r="L175" s="149"/>
      <c r="M175" s="57"/>
    </row>
    <row r="176" spans="1:13" ht="23.1" customHeight="1" x14ac:dyDescent="0.25">
      <c r="A176" s="38"/>
      <c r="B176" s="199"/>
      <c r="C176" s="151">
        <v>0</v>
      </c>
      <c r="D176" s="104">
        <v>2023</v>
      </c>
      <c r="E176" s="102">
        <f t="shared" si="8"/>
        <v>95456.2</v>
      </c>
      <c r="F176" s="120">
        <v>0</v>
      </c>
      <c r="G176" s="102">
        <f>92267.8+4490-1301.6</f>
        <v>95456.2</v>
      </c>
      <c r="H176" s="102">
        <v>0</v>
      </c>
      <c r="I176" s="102">
        <v>0</v>
      </c>
      <c r="J176" s="102">
        <v>0</v>
      </c>
      <c r="K176" s="103"/>
      <c r="L176" s="149"/>
      <c r="M176" s="57"/>
    </row>
    <row r="177" spans="1:13" ht="23.1" customHeight="1" x14ac:dyDescent="0.25">
      <c r="A177" s="38"/>
      <c r="B177" s="199"/>
      <c r="C177" s="151">
        <v>0</v>
      </c>
      <c r="D177" s="104">
        <v>2024</v>
      </c>
      <c r="E177" s="102">
        <f t="shared" si="8"/>
        <v>157293.6</v>
      </c>
      <c r="F177" s="120">
        <v>0</v>
      </c>
      <c r="G177" s="102">
        <f>92062.1+60708.1+4523.4</f>
        <v>157293.6</v>
      </c>
      <c r="H177" s="102">
        <v>0</v>
      </c>
      <c r="I177" s="102">
        <v>0</v>
      </c>
      <c r="J177" s="102">
        <v>0</v>
      </c>
      <c r="K177" s="103"/>
      <c r="L177" s="149"/>
      <c r="M177" s="57"/>
    </row>
    <row r="178" spans="1:13" ht="23.1" customHeight="1" x14ac:dyDescent="0.25">
      <c r="A178" s="38"/>
      <c r="B178" s="199"/>
      <c r="C178" s="151">
        <v>0</v>
      </c>
      <c r="D178" s="104">
        <v>2025</v>
      </c>
      <c r="E178" s="102">
        <f t="shared" si="8"/>
        <v>93922.700000000012</v>
      </c>
      <c r="F178" s="120">
        <v>0</v>
      </c>
      <c r="G178" s="102">
        <f>92062.1+60708.1-58847.5</f>
        <v>93922.700000000012</v>
      </c>
      <c r="H178" s="102">
        <v>0</v>
      </c>
      <c r="I178" s="102">
        <v>0</v>
      </c>
      <c r="J178" s="102">
        <v>0</v>
      </c>
      <c r="K178" s="103"/>
      <c r="L178" s="149"/>
      <c r="M178" s="57"/>
    </row>
    <row r="179" spans="1:13" ht="23.1" customHeight="1" x14ac:dyDescent="0.25">
      <c r="A179" s="38"/>
      <c r="B179" s="199"/>
      <c r="C179" s="151"/>
      <c r="D179" s="104">
        <v>2026</v>
      </c>
      <c r="E179" s="102">
        <f t="shared" ref="E179" si="18">F179+G179+H179+J179</f>
        <v>93129.500000000015</v>
      </c>
      <c r="F179" s="120">
        <v>0</v>
      </c>
      <c r="G179" s="102">
        <f>92062.1+60708.1-59640.7</f>
        <v>93129.500000000015</v>
      </c>
      <c r="H179" s="102">
        <v>0</v>
      </c>
      <c r="I179" s="102">
        <v>0</v>
      </c>
      <c r="J179" s="102">
        <v>0</v>
      </c>
      <c r="K179" s="103"/>
      <c r="L179" s="149"/>
      <c r="M179" s="57"/>
    </row>
    <row r="180" spans="1:13" ht="23.1" customHeight="1" x14ac:dyDescent="0.25">
      <c r="A180" s="38"/>
      <c r="B180" s="199"/>
      <c r="C180" s="151"/>
      <c r="D180" s="104">
        <v>2027</v>
      </c>
      <c r="E180" s="102">
        <f t="shared" si="8"/>
        <v>93129.5</v>
      </c>
      <c r="F180" s="120">
        <v>0</v>
      </c>
      <c r="G180" s="102">
        <v>93129.5</v>
      </c>
      <c r="H180" s="102">
        <v>0</v>
      </c>
      <c r="I180" s="102">
        <v>0</v>
      </c>
      <c r="J180" s="102">
        <v>0</v>
      </c>
      <c r="K180" s="103"/>
      <c r="L180" s="149"/>
      <c r="M180" s="57"/>
    </row>
    <row r="181" spans="1:13" ht="23.1" customHeight="1" x14ac:dyDescent="0.25">
      <c r="A181" s="38"/>
      <c r="B181" s="199" t="s">
        <v>191</v>
      </c>
      <c r="C181" s="148">
        <v>0</v>
      </c>
      <c r="D181" s="101">
        <v>2018</v>
      </c>
      <c r="E181" s="102">
        <f t="shared" si="8"/>
        <v>0</v>
      </c>
      <c r="F181" s="102">
        <v>0</v>
      </c>
      <c r="G181" s="102">
        <v>0</v>
      </c>
      <c r="H181" s="102">
        <v>0</v>
      </c>
      <c r="I181" s="102">
        <v>0</v>
      </c>
      <c r="J181" s="102">
        <v>0</v>
      </c>
      <c r="K181" s="103"/>
      <c r="L181" s="149"/>
      <c r="M181" s="57"/>
    </row>
    <row r="182" spans="1:13" ht="23.1" customHeight="1" x14ac:dyDescent="0.25">
      <c r="A182" s="38"/>
      <c r="B182" s="199"/>
      <c r="C182" s="148">
        <v>0</v>
      </c>
      <c r="D182" s="101">
        <v>2019</v>
      </c>
      <c r="E182" s="102">
        <f t="shared" ref="E182:E261" si="19">F182+G182+H182+J182</f>
        <v>9017.7000000000007</v>
      </c>
      <c r="F182" s="102">
        <v>0</v>
      </c>
      <c r="G182" s="102">
        <v>0</v>
      </c>
      <c r="H182" s="102">
        <v>9017.7000000000007</v>
      </c>
      <c r="I182" s="102">
        <v>0</v>
      </c>
      <c r="J182" s="102">
        <v>0</v>
      </c>
      <c r="K182" s="103"/>
      <c r="L182" s="149"/>
      <c r="M182" s="57"/>
    </row>
    <row r="183" spans="1:13" ht="23.1" customHeight="1" x14ac:dyDescent="0.25">
      <c r="A183" s="38"/>
      <c r="B183" s="199"/>
      <c r="C183" s="148">
        <v>0</v>
      </c>
      <c r="D183" s="100">
        <v>2020</v>
      </c>
      <c r="E183" s="102">
        <f t="shared" si="19"/>
        <v>804.9</v>
      </c>
      <c r="F183" s="120">
        <v>0</v>
      </c>
      <c r="G183" s="102">
        <v>0</v>
      </c>
      <c r="H183" s="102">
        <v>804.9</v>
      </c>
      <c r="I183" s="102">
        <v>0</v>
      </c>
      <c r="J183" s="102">
        <v>0</v>
      </c>
      <c r="K183" s="103"/>
      <c r="L183" s="149"/>
      <c r="M183" s="57"/>
    </row>
    <row r="184" spans="1:13" ht="23.1" customHeight="1" x14ac:dyDescent="0.25">
      <c r="A184" s="38"/>
      <c r="B184" s="199"/>
      <c r="C184" s="151">
        <v>0</v>
      </c>
      <c r="D184" s="100">
        <v>2021</v>
      </c>
      <c r="E184" s="102">
        <f t="shared" si="19"/>
        <v>0</v>
      </c>
      <c r="F184" s="120">
        <v>0</v>
      </c>
      <c r="G184" s="102">
        <v>0</v>
      </c>
      <c r="H184" s="102">
        <v>0</v>
      </c>
      <c r="I184" s="102">
        <v>0</v>
      </c>
      <c r="J184" s="102">
        <v>0</v>
      </c>
      <c r="K184" s="103"/>
      <c r="L184" s="149"/>
      <c r="M184" s="57"/>
    </row>
    <row r="185" spans="1:13" ht="23.1" customHeight="1" x14ac:dyDescent="0.25">
      <c r="A185" s="38"/>
      <c r="B185" s="199"/>
      <c r="C185" s="151">
        <v>0</v>
      </c>
      <c r="D185" s="100">
        <v>2022</v>
      </c>
      <c r="E185" s="102">
        <f t="shared" si="19"/>
        <v>0</v>
      </c>
      <c r="F185" s="120">
        <v>0</v>
      </c>
      <c r="G185" s="102">
        <v>0</v>
      </c>
      <c r="H185" s="102">
        <v>0</v>
      </c>
      <c r="I185" s="102">
        <v>0</v>
      </c>
      <c r="J185" s="102">
        <v>0</v>
      </c>
      <c r="K185" s="103"/>
      <c r="L185" s="149"/>
      <c r="M185" s="57"/>
    </row>
    <row r="186" spans="1:13" ht="23.1" customHeight="1" x14ac:dyDescent="0.25">
      <c r="A186" s="38"/>
      <c r="B186" s="199"/>
      <c r="C186" s="151">
        <v>0</v>
      </c>
      <c r="D186" s="100">
        <v>2023</v>
      </c>
      <c r="E186" s="102">
        <f t="shared" si="19"/>
        <v>0</v>
      </c>
      <c r="F186" s="120">
        <v>0</v>
      </c>
      <c r="G186" s="102">
        <v>0</v>
      </c>
      <c r="H186" s="102">
        <v>0</v>
      </c>
      <c r="I186" s="102">
        <v>0</v>
      </c>
      <c r="J186" s="102">
        <v>0</v>
      </c>
      <c r="K186" s="103"/>
      <c r="L186" s="149"/>
      <c r="M186" s="57"/>
    </row>
    <row r="187" spans="1:13" ht="23.1" customHeight="1" x14ac:dyDescent="0.25">
      <c r="A187" s="38"/>
      <c r="B187" s="199"/>
      <c r="C187" s="151">
        <v>0</v>
      </c>
      <c r="D187" s="100">
        <v>2024</v>
      </c>
      <c r="E187" s="102">
        <f t="shared" si="19"/>
        <v>0</v>
      </c>
      <c r="F187" s="120">
        <v>0</v>
      </c>
      <c r="G187" s="102">
        <v>0</v>
      </c>
      <c r="H187" s="102">
        <v>0</v>
      </c>
      <c r="I187" s="102">
        <v>0</v>
      </c>
      <c r="J187" s="102">
        <v>0</v>
      </c>
      <c r="K187" s="103"/>
      <c r="L187" s="149"/>
      <c r="M187" s="57"/>
    </row>
    <row r="188" spans="1:13" ht="23.1" customHeight="1" x14ac:dyDescent="0.25">
      <c r="A188" s="38"/>
      <c r="B188" s="199"/>
      <c r="C188" s="151">
        <v>0</v>
      </c>
      <c r="D188" s="100">
        <v>2025</v>
      </c>
      <c r="E188" s="102">
        <f t="shared" si="19"/>
        <v>0</v>
      </c>
      <c r="F188" s="120">
        <v>0</v>
      </c>
      <c r="G188" s="102">
        <v>0</v>
      </c>
      <c r="H188" s="102">
        <v>0</v>
      </c>
      <c r="I188" s="102">
        <v>0</v>
      </c>
      <c r="J188" s="102">
        <v>0</v>
      </c>
      <c r="K188" s="103"/>
      <c r="L188" s="149"/>
      <c r="M188" s="57"/>
    </row>
    <row r="189" spans="1:13" ht="23.1" customHeight="1" x14ac:dyDescent="0.25">
      <c r="A189" s="38"/>
      <c r="B189" s="199"/>
      <c r="C189" s="151"/>
      <c r="D189" s="100">
        <v>2026</v>
      </c>
      <c r="E189" s="102">
        <f t="shared" ref="E189" si="20">F189+G189+H189+J189</f>
        <v>0</v>
      </c>
      <c r="F189" s="120">
        <v>0</v>
      </c>
      <c r="G189" s="102">
        <v>0</v>
      </c>
      <c r="H189" s="102">
        <v>0</v>
      </c>
      <c r="I189" s="102">
        <v>0</v>
      </c>
      <c r="J189" s="102">
        <v>0</v>
      </c>
      <c r="K189" s="103"/>
      <c r="L189" s="149"/>
      <c r="M189" s="57"/>
    </row>
    <row r="190" spans="1:13" ht="23.1" customHeight="1" thickBot="1" x14ac:dyDescent="0.3">
      <c r="A190" s="39"/>
      <c r="B190" s="216"/>
      <c r="C190" s="158"/>
      <c r="D190" s="111">
        <v>2027</v>
      </c>
      <c r="E190" s="201">
        <f t="shared" si="19"/>
        <v>0</v>
      </c>
      <c r="F190" s="202">
        <v>0</v>
      </c>
      <c r="G190" s="201">
        <v>0</v>
      </c>
      <c r="H190" s="201">
        <v>0</v>
      </c>
      <c r="I190" s="201">
        <v>0</v>
      </c>
      <c r="J190" s="201">
        <v>0</v>
      </c>
      <c r="K190" s="114"/>
      <c r="L190" s="160"/>
      <c r="M190" s="57"/>
    </row>
    <row r="191" spans="1:13" ht="23.1" customHeight="1" x14ac:dyDescent="0.25">
      <c r="A191" s="38" t="s">
        <v>45</v>
      </c>
      <c r="B191" s="219" t="s">
        <v>186</v>
      </c>
      <c r="C191" s="205">
        <v>0</v>
      </c>
      <c r="D191" s="117">
        <v>2018</v>
      </c>
      <c r="E191" s="118">
        <f t="shared" si="19"/>
        <v>0</v>
      </c>
      <c r="F191" s="118">
        <v>0</v>
      </c>
      <c r="G191" s="118">
        <v>0</v>
      </c>
      <c r="H191" s="118">
        <v>0</v>
      </c>
      <c r="I191" s="118">
        <v>0</v>
      </c>
      <c r="J191" s="118">
        <v>0</v>
      </c>
      <c r="K191" s="181"/>
      <c r="L191" s="182"/>
      <c r="M191" s="57"/>
    </row>
    <row r="192" spans="1:13" ht="23.1" customHeight="1" x14ac:dyDescent="0.25">
      <c r="A192" s="38"/>
      <c r="B192" s="199"/>
      <c r="C192" s="148">
        <v>0</v>
      </c>
      <c r="D192" s="101">
        <v>2019</v>
      </c>
      <c r="E192" s="102">
        <f t="shared" si="19"/>
        <v>0</v>
      </c>
      <c r="F192" s="102">
        <v>0</v>
      </c>
      <c r="G192" s="102">
        <v>0</v>
      </c>
      <c r="H192" s="102">
        <v>0</v>
      </c>
      <c r="I192" s="102">
        <v>0</v>
      </c>
      <c r="J192" s="102">
        <v>0</v>
      </c>
      <c r="K192" s="181"/>
      <c r="L192" s="182"/>
      <c r="M192" s="57"/>
    </row>
    <row r="193" spans="1:13" ht="23.1" customHeight="1" x14ac:dyDescent="0.25">
      <c r="A193" s="38"/>
      <c r="B193" s="199"/>
      <c r="C193" s="148">
        <v>0</v>
      </c>
      <c r="D193" s="104">
        <v>2020</v>
      </c>
      <c r="E193" s="102">
        <f t="shared" si="19"/>
        <v>3186.3</v>
      </c>
      <c r="F193" s="120">
        <v>0</v>
      </c>
      <c r="G193" s="102">
        <v>0</v>
      </c>
      <c r="H193" s="102">
        <v>3186.3</v>
      </c>
      <c r="I193" s="102">
        <v>0</v>
      </c>
      <c r="J193" s="102">
        <v>0</v>
      </c>
      <c r="K193" s="181"/>
      <c r="L193" s="182"/>
      <c r="M193" s="57"/>
    </row>
    <row r="194" spans="1:13" ht="23.1" customHeight="1" x14ac:dyDescent="0.25">
      <c r="A194" s="38"/>
      <c r="B194" s="199"/>
      <c r="C194" s="151">
        <v>0</v>
      </c>
      <c r="D194" s="104">
        <v>2021</v>
      </c>
      <c r="E194" s="102">
        <f t="shared" si="19"/>
        <v>8358.6</v>
      </c>
      <c r="F194" s="120">
        <v>0</v>
      </c>
      <c r="G194" s="102">
        <v>0</v>
      </c>
      <c r="H194" s="102">
        <v>8358.6</v>
      </c>
      <c r="I194" s="102">
        <v>0</v>
      </c>
      <c r="J194" s="102">
        <v>0</v>
      </c>
      <c r="K194" s="181"/>
      <c r="L194" s="182"/>
      <c r="M194" s="57"/>
    </row>
    <row r="195" spans="1:13" ht="23.1" customHeight="1" x14ac:dyDescent="0.25">
      <c r="A195" s="38"/>
      <c r="B195" s="199"/>
      <c r="C195" s="151">
        <v>0</v>
      </c>
      <c r="D195" s="104">
        <v>2022</v>
      </c>
      <c r="E195" s="102">
        <f t="shared" si="19"/>
        <v>2735.7</v>
      </c>
      <c r="F195" s="120">
        <v>0</v>
      </c>
      <c r="G195" s="102">
        <v>0</v>
      </c>
      <c r="H195" s="102">
        <f>2000+689.2+46.5</f>
        <v>2735.7</v>
      </c>
      <c r="I195" s="102">
        <v>0</v>
      </c>
      <c r="J195" s="102">
        <v>0</v>
      </c>
      <c r="K195" s="181"/>
      <c r="L195" s="182"/>
      <c r="M195" s="57"/>
    </row>
    <row r="196" spans="1:13" ht="23.1" customHeight="1" x14ac:dyDescent="0.25">
      <c r="A196" s="38"/>
      <c r="B196" s="199"/>
      <c r="C196" s="151">
        <v>0</v>
      </c>
      <c r="D196" s="104">
        <v>2023</v>
      </c>
      <c r="E196" s="102">
        <f t="shared" si="19"/>
        <v>2897.5</v>
      </c>
      <c r="F196" s="120">
        <v>0</v>
      </c>
      <c r="G196" s="102">
        <v>0</v>
      </c>
      <c r="H196" s="102">
        <f>2135.4+762.1</f>
        <v>2897.5</v>
      </c>
      <c r="I196" s="102">
        <v>0</v>
      </c>
      <c r="J196" s="102">
        <v>0</v>
      </c>
      <c r="K196" s="181"/>
      <c r="L196" s="182"/>
      <c r="M196" s="57"/>
    </row>
    <row r="197" spans="1:13" ht="23.1" customHeight="1" x14ac:dyDescent="0.25">
      <c r="A197" s="38"/>
      <c r="B197" s="199"/>
      <c r="C197" s="151">
        <v>0</v>
      </c>
      <c r="D197" s="104">
        <v>2024</v>
      </c>
      <c r="E197" s="102">
        <f t="shared" si="19"/>
        <v>2652.5</v>
      </c>
      <c r="F197" s="120">
        <v>0</v>
      </c>
      <c r="G197" s="102">
        <v>0</v>
      </c>
      <c r="H197" s="121">
        <f>738.8+160+640+175.7+532+56+150+200</f>
        <v>2652.5</v>
      </c>
      <c r="I197" s="102">
        <v>0</v>
      </c>
      <c r="J197" s="102">
        <v>0</v>
      </c>
      <c r="K197" s="181"/>
      <c r="L197" s="182"/>
      <c r="M197" s="57"/>
    </row>
    <row r="198" spans="1:13" ht="23.1" customHeight="1" x14ac:dyDescent="0.25">
      <c r="A198" s="38"/>
      <c r="B198" s="199"/>
      <c r="C198" s="151">
        <v>0</v>
      </c>
      <c r="D198" s="104">
        <v>2025</v>
      </c>
      <c r="E198" s="102">
        <f t="shared" si="19"/>
        <v>10863.1</v>
      </c>
      <c r="F198" s="120">
        <v>0</v>
      </c>
      <c r="G198" s="102">
        <v>0</v>
      </c>
      <c r="H198" s="121">
        <v>10863.1</v>
      </c>
      <c r="I198" s="102">
        <v>0</v>
      </c>
      <c r="J198" s="102">
        <v>0</v>
      </c>
      <c r="K198" s="181"/>
      <c r="L198" s="182"/>
      <c r="M198" s="57"/>
    </row>
    <row r="199" spans="1:13" ht="23.1" customHeight="1" x14ac:dyDescent="0.25">
      <c r="A199" s="38"/>
      <c r="B199" s="199"/>
      <c r="C199" s="151"/>
      <c r="D199" s="104">
        <v>2026</v>
      </c>
      <c r="E199" s="102">
        <f t="shared" ref="E199" si="21">F199+G199+H199+J199</f>
        <v>10863.1</v>
      </c>
      <c r="F199" s="120">
        <v>0</v>
      </c>
      <c r="G199" s="102">
        <v>0</v>
      </c>
      <c r="H199" s="121">
        <v>10863.1</v>
      </c>
      <c r="I199" s="102">
        <v>0</v>
      </c>
      <c r="J199" s="102">
        <v>0</v>
      </c>
      <c r="K199" s="181"/>
      <c r="L199" s="182"/>
      <c r="M199" s="57"/>
    </row>
    <row r="200" spans="1:13" ht="23.1" customHeight="1" x14ac:dyDescent="0.25">
      <c r="A200" s="38"/>
      <c r="B200" s="199"/>
      <c r="C200" s="151"/>
      <c r="D200" s="104">
        <v>2027</v>
      </c>
      <c r="E200" s="102">
        <f t="shared" si="19"/>
        <v>10863.1</v>
      </c>
      <c r="F200" s="120">
        <v>0</v>
      </c>
      <c r="G200" s="102">
        <v>0</v>
      </c>
      <c r="H200" s="121">
        <v>10863.1</v>
      </c>
      <c r="I200" s="102">
        <v>0</v>
      </c>
      <c r="J200" s="102">
        <v>0</v>
      </c>
      <c r="K200" s="181"/>
      <c r="L200" s="182"/>
      <c r="M200" s="57"/>
    </row>
    <row r="201" spans="1:13" ht="23.1" customHeight="1" x14ac:dyDescent="0.25">
      <c r="A201" s="38"/>
      <c r="B201" s="199" t="s">
        <v>48</v>
      </c>
      <c r="C201" s="148">
        <v>0</v>
      </c>
      <c r="D201" s="101">
        <v>2018</v>
      </c>
      <c r="E201" s="102">
        <f t="shared" si="19"/>
        <v>11257.6</v>
      </c>
      <c r="F201" s="102">
        <v>0</v>
      </c>
      <c r="G201" s="102">
        <v>0</v>
      </c>
      <c r="H201" s="102">
        <v>11257.6</v>
      </c>
      <c r="I201" s="102">
        <v>0</v>
      </c>
      <c r="J201" s="102">
        <v>0</v>
      </c>
      <c r="K201" s="181"/>
      <c r="L201" s="182"/>
      <c r="M201" s="57"/>
    </row>
    <row r="202" spans="1:13" ht="23.1" customHeight="1" x14ac:dyDescent="0.25">
      <c r="A202" s="38"/>
      <c r="B202" s="199"/>
      <c r="C202" s="148">
        <v>0</v>
      </c>
      <c r="D202" s="101">
        <v>2019</v>
      </c>
      <c r="E202" s="102">
        <f t="shared" si="19"/>
        <v>12701.7</v>
      </c>
      <c r="F202" s="102">
        <v>0</v>
      </c>
      <c r="G202" s="102">
        <v>0</v>
      </c>
      <c r="H202" s="102">
        <v>12701.7</v>
      </c>
      <c r="I202" s="102">
        <v>0</v>
      </c>
      <c r="J202" s="102">
        <v>0</v>
      </c>
      <c r="K202" s="181"/>
      <c r="L202" s="182"/>
      <c r="M202" s="57"/>
    </row>
    <row r="203" spans="1:13" ht="23.1" customHeight="1" x14ac:dyDescent="0.25">
      <c r="A203" s="38"/>
      <c r="B203" s="199"/>
      <c r="C203" s="148">
        <v>0</v>
      </c>
      <c r="D203" s="104">
        <v>2020</v>
      </c>
      <c r="E203" s="102">
        <f t="shared" si="19"/>
        <v>10967.7</v>
      </c>
      <c r="F203" s="120">
        <v>0</v>
      </c>
      <c r="G203" s="102">
        <v>0</v>
      </c>
      <c r="H203" s="102">
        <v>10967.7</v>
      </c>
      <c r="I203" s="102">
        <v>0</v>
      </c>
      <c r="J203" s="102">
        <v>0</v>
      </c>
      <c r="K203" s="181"/>
      <c r="L203" s="182"/>
      <c r="M203" s="57"/>
    </row>
    <row r="204" spans="1:13" ht="23.1" customHeight="1" x14ac:dyDescent="0.25">
      <c r="A204" s="38"/>
      <c r="B204" s="199"/>
      <c r="C204" s="151">
        <v>0</v>
      </c>
      <c r="D204" s="104">
        <v>2021</v>
      </c>
      <c r="E204" s="102">
        <f t="shared" si="19"/>
        <v>15710.1</v>
      </c>
      <c r="F204" s="120">
        <v>0</v>
      </c>
      <c r="G204" s="102">
        <v>0</v>
      </c>
      <c r="H204" s="102">
        <v>15710.1</v>
      </c>
      <c r="I204" s="102">
        <v>0</v>
      </c>
      <c r="J204" s="102">
        <v>0</v>
      </c>
      <c r="K204" s="181"/>
      <c r="L204" s="182"/>
      <c r="M204" s="57"/>
    </row>
    <row r="205" spans="1:13" ht="23.1" customHeight="1" x14ac:dyDescent="0.25">
      <c r="A205" s="38"/>
      <c r="B205" s="199"/>
      <c r="C205" s="151">
        <v>0</v>
      </c>
      <c r="D205" s="104">
        <v>2022</v>
      </c>
      <c r="E205" s="102">
        <f t="shared" si="19"/>
        <v>8463.1</v>
      </c>
      <c r="F205" s="120">
        <v>0</v>
      </c>
      <c r="G205" s="102">
        <v>0</v>
      </c>
      <c r="H205" s="102">
        <f>7614.9+1163+350+0.1-664.9</f>
        <v>8463.1</v>
      </c>
      <c r="I205" s="102">
        <v>0</v>
      </c>
      <c r="J205" s="102">
        <v>0</v>
      </c>
      <c r="K205" s="181"/>
      <c r="L205" s="182"/>
      <c r="M205" s="57"/>
    </row>
    <row r="206" spans="1:13" ht="23.1" customHeight="1" x14ac:dyDescent="0.25">
      <c r="A206" s="38"/>
      <c r="B206" s="199"/>
      <c r="C206" s="151">
        <v>0</v>
      </c>
      <c r="D206" s="104">
        <v>2023</v>
      </c>
      <c r="E206" s="102">
        <f t="shared" si="19"/>
        <v>13758.4</v>
      </c>
      <c r="F206" s="120">
        <v>0</v>
      </c>
      <c r="G206" s="102">
        <v>0</v>
      </c>
      <c r="H206" s="102">
        <f>6521+2544.7-10+244.9-5+1391.8+3233.1-122.1-40</f>
        <v>13758.4</v>
      </c>
      <c r="I206" s="102">
        <v>0</v>
      </c>
      <c r="J206" s="102">
        <v>0</v>
      </c>
      <c r="K206" s="181"/>
      <c r="L206" s="182"/>
      <c r="M206" s="57"/>
    </row>
    <row r="207" spans="1:13" ht="23.1" customHeight="1" x14ac:dyDescent="0.25">
      <c r="A207" s="38"/>
      <c r="B207" s="199"/>
      <c r="C207" s="151">
        <v>0</v>
      </c>
      <c r="D207" s="104">
        <v>2024</v>
      </c>
      <c r="E207" s="102">
        <f t="shared" si="19"/>
        <v>17838.5</v>
      </c>
      <c r="F207" s="120">
        <v>0</v>
      </c>
      <c r="G207" s="102">
        <v>0</v>
      </c>
      <c r="H207" s="121">
        <f>15455.9-55.5+2518.5-53.4-27</f>
        <v>17838.5</v>
      </c>
      <c r="I207" s="102">
        <v>0</v>
      </c>
      <c r="J207" s="102">
        <v>0</v>
      </c>
      <c r="K207" s="181"/>
      <c r="L207" s="182"/>
      <c r="M207" s="57"/>
    </row>
    <row r="208" spans="1:13" ht="23.1" customHeight="1" x14ac:dyDescent="0.25">
      <c r="A208" s="38"/>
      <c r="B208" s="199"/>
      <c r="C208" s="151">
        <v>0</v>
      </c>
      <c r="D208" s="104">
        <v>2025</v>
      </c>
      <c r="E208" s="102">
        <f t="shared" si="19"/>
        <v>19330</v>
      </c>
      <c r="F208" s="120">
        <v>0</v>
      </c>
      <c r="G208" s="102">
        <v>0</v>
      </c>
      <c r="H208" s="121">
        <v>19330</v>
      </c>
      <c r="I208" s="102">
        <v>0</v>
      </c>
      <c r="J208" s="102">
        <v>0</v>
      </c>
      <c r="K208" s="181"/>
      <c r="L208" s="182"/>
      <c r="M208" s="57"/>
    </row>
    <row r="209" spans="1:13" ht="23.1" customHeight="1" x14ac:dyDescent="0.25">
      <c r="A209" s="38"/>
      <c r="B209" s="199"/>
      <c r="C209" s="151"/>
      <c r="D209" s="104">
        <v>2026</v>
      </c>
      <c r="E209" s="102">
        <f t="shared" ref="E209" si="22">F209+G209+H209+J209</f>
        <v>20870.599999999999</v>
      </c>
      <c r="F209" s="120">
        <v>0</v>
      </c>
      <c r="G209" s="102">
        <v>0</v>
      </c>
      <c r="H209" s="121">
        <v>20870.599999999999</v>
      </c>
      <c r="I209" s="102">
        <v>0</v>
      </c>
      <c r="J209" s="102">
        <v>0</v>
      </c>
      <c r="K209" s="181"/>
      <c r="L209" s="182"/>
      <c r="M209" s="57"/>
    </row>
    <row r="210" spans="1:13" ht="23.1" customHeight="1" x14ac:dyDescent="0.25">
      <c r="A210" s="38"/>
      <c r="B210" s="199"/>
      <c r="C210" s="151"/>
      <c r="D210" s="104">
        <v>2027</v>
      </c>
      <c r="E210" s="102">
        <f t="shared" si="19"/>
        <v>22559.5</v>
      </c>
      <c r="F210" s="120">
        <v>0</v>
      </c>
      <c r="G210" s="102">
        <v>0</v>
      </c>
      <c r="H210" s="121">
        <v>22559.5</v>
      </c>
      <c r="I210" s="102">
        <v>0</v>
      </c>
      <c r="J210" s="102">
        <v>0</v>
      </c>
      <c r="K210" s="181"/>
      <c r="L210" s="182"/>
      <c r="M210" s="57"/>
    </row>
    <row r="211" spans="1:13" ht="23.1" customHeight="1" x14ac:dyDescent="0.25">
      <c r="A211" s="38"/>
      <c r="B211" s="199" t="s">
        <v>49</v>
      </c>
      <c r="C211" s="148">
        <v>0</v>
      </c>
      <c r="D211" s="101">
        <v>2018</v>
      </c>
      <c r="E211" s="102">
        <f t="shared" si="19"/>
        <v>187.3</v>
      </c>
      <c r="F211" s="102">
        <v>0</v>
      </c>
      <c r="G211" s="102">
        <v>0</v>
      </c>
      <c r="H211" s="102">
        <v>187.3</v>
      </c>
      <c r="I211" s="102">
        <v>0</v>
      </c>
      <c r="J211" s="102">
        <v>0</v>
      </c>
      <c r="K211" s="181"/>
      <c r="L211" s="182"/>
      <c r="M211" s="57"/>
    </row>
    <row r="212" spans="1:13" ht="23.1" customHeight="1" x14ac:dyDescent="0.25">
      <c r="A212" s="38"/>
      <c r="B212" s="199"/>
      <c r="C212" s="148">
        <v>0</v>
      </c>
      <c r="D212" s="101">
        <v>2019</v>
      </c>
      <c r="E212" s="102">
        <f t="shared" si="19"/>
        <v>193</v>
      </c>
      <c r="F212" s="102">
        <v>0</v>
      </c>
      <c r="G212" s="102">
        <v>0</v>
      </c>
      <c r="H212" s="102">
        <v>193</v>
      </c>
      <c r="I212" s="102">
        <v>0</v>
      </c>
      <c r="J212" s="102">
        <v>0</v>
      </c>
      <c r="K212" s="181"/>
      <c r="L212" s="182"/>
      <c r="M212" s="57"/>
    </row>
    <row r="213" spans="1:13" ht="23.1" customHeight="1" x14ac:dyDescent="0.25">
      <c r="A213" s="38"/>
      <c r="B213" s="199"/>
      <c r="C213" s="148">
        <v>0</v>
      </c>
      <c r="D213" s="104">
        <v>2020</v>
      </c>
      <c r="E213" s="102">
        <f t="shared" si="19"/>
        <v>153</v>
      </c>
      <c r="F213" s="120">
        <v>0</v>
      </c>
      <c r="G213" s="102">
        <v>0</v>
      </c>
      <c r="H213" s="102">
        <v>153</v>
      </c>
      <c r="I213" s="102">
        <v>0</v>
      </c>
      <c r="J213" s="102">
        <v>0</v>
      </c>
      <c r="K213" s="181"/>
      <c r="L213" s="182"/>
      <c r="M213" s="57"/>
    </row>
    <row r="214" spans="1:13" ht="23.1" customHeight="1" x14ac:dyDescent="0.25">
      <c r="A214" s="38"/>
      <c r="B214" s="199"/>
      <c r="C214" s="151">
        <v>0</v>
      </c>
      <c r="D214" s="104">
        <v>2021</v>
      </c>
      <c r="E214" s="102">
        <f t="shared" si="19"/>
        <v>277.3</v>
      </c>
      <c r="F214" s="120">
        <v>0</v>
      </c>
      <c r="G214" s="102">
        <v>0</v>
      </c>
      <c r="H214" s="102">
        <v>277.3</v>
      </c>
      <c r="I214" s="102">
        <v>0</v>
      </c>
      <c r="J214" s="102">
        <v>0</v>
      </c>
      <c r="K214" s="181"/>
      <c r="L214" s="182"/>
      <c r="M214" s="57"/>
    </row>
    <row r="215" spans="1:13" ht="23.1" customHeight="1" x14ac:dyDescent="0.25">
      <c r="A215" s="38"/>
      <c r="B215" s="199"/>
      <c r="C215" s="151">
        <v>0</v>
      </c>
      <c r="D215" s="104">
        <v>2022</v>
      </c>
      <c r="E215" s="102">
        <f t="shared" si="19"/>
        <v>406</v>
      </c>
      <c r="F215" s="120">
        <v>0</v>
      </c>
      <c r="G215" s="102">
        <v>0</v>
      </c>
      <c r="H215" s="102">
        <f>336+70</f>
        <v>406</v>
      </c>
      <c r="I215" s="102">
        <v>0</v>
      </c>
      <c r="J215" s="102">
        <v>0</v>
      </c>
      <c r="K215" s="181"/>
      <c r="L215" s="182"/>
      <c r="M215" s="57"/>
    </row>
    <row r="216" spans="1:13" ht="23.1" customHeight="1" x14ac:dyDescent="0.25">
      <c r="A216" s="38"/>
      <c r="B216" s="199"/>
      <c r="C216" s="151">
        <v>0</v>
      </c>
      <c r="D216" s="104">
        <v>2023</v>
      </c>
      <c r="E216" s="102">
        <f t="shared" si="19"/>
        <v>378.3</v>
      </c>
      <c r="F216" s="120">
        <v>0</v>
      </c>
      <c r="G216" s="102">
        <v>0</v>
      </c>
      <c r="H216" s="102">
        <f>289+39.3+10+40</f>
        <v>378.3</v>
      </c>
      <c r="I216" s="102">
        <v>0</v>
      </c>
      <c r="J216" s="102">
        <v>0</v>
      </c>
      <c r="K216" s="181"/>
      <c r="L216" s="182"/>
      <c r="M216" s="57"/>
    </row>
    <row r="217" spans="1:13" ht="23.1" customHeight="1" x14ac:dyDescent="0.25">
      <c r="A217" s="38"/>
      <c r="B217" s="199"/>
      <c r="C217" s="151">
        <v>0</v>
      </c>
      <c r="D217" s="104">
        <v>2024</v>
      </c>
      <c r="E217" s="102">
        <f t="shared" si="19"/>
        <v>574.20000000000005</v>
      </c>
      <c r="F217" s="120">
        <v>0</v>
      </c>
      <c r="G217" s="102">
        <v>0</v>
      </c>
      <c r="H217" s="121">
        <f>536.2+38</f>
        <v>574.20000000000005</v>
      </c>
      <c r="I217" s="102">
        <v>0</v>
      </c>
      <c r="J217" s="102">
        <v>0</v>
      </c>
      <c r="K217" s="181"/>
      <c r="L217" s="182"/>
      <c r="M217" s="57"/>
    </row>
    <row r="218" spans="1:13" ht="23.1" customHeight="1" x14ac:dyDescent="0.25">
      <c r="A218" s="38"/>
      <c r="B218" s="199"/>
      <c r="C218" s="151">
        <v>0</v>
      </c>
      <c r="D218" s="104">
        <v>2025</v>
      </c>
      <c r="E218" s="102">
        <f t="shared" si="19"/>
        <v>603.70000000000005</v>
      </c>
      <c r="F218" s="120">
        <v>0</v>
      </c>
      <c r="G218" s="102">
        <v>0</v>
      </c>
      <c r="H218" s="121">
        <v>603.70000000000005</v>
      </c>
      <c r="I218" s="102">
        <v>0</v>
      </c>
      <c r="J218" s="102">
        <v>0</v>
      </c>
      <c r="K218" s="181"/>
      <c r="L218" s="182"/>
      <c r="M218" s="57"/>
    </row>
    <row r="219" spans="1:13" ht="23.1" customHeight="1" x14ac:dyDescent="0.25">
      <c r="A219" s="38"/>
      <c r="B219" s="199"/>
      <c r="C219" s="151"/>
      <c r="D219" s="104">
        <v>2026</v>
      </c>
      <c r="E219" s="102">
        <f t="shared" ref="E219" si="23">F219+G219+H219+J219</f>
        <v>664.1</v>
      </c>
      <c r="F219" s="120">
        <v>0</v>
      </c>
      <c r="G219" s="102">
        <v>0</v>
      </c>
      <c r="H219" s="121">
        <v>664.1</v>
      </c>
      <c r="I219" s="102">
        <v>0</v>
      </c>
      <c r="J219" s="102">
        <v>0</v>
      </c>
      <c r="K219" s="181"/>
      <c r="L219" s="182"/>
      <c r="M219" s="57"/>
    </row>
    <row r="220" spans="1:13" ht="23.1" customHeight="1" x14ac:dyDescent="0.25">
      <c r="A220" s="38"/>
      <c r="B220" s="199"/>
      <c r="C220" s="151"/>
      <c r="D220" s="104">
        <v>2027</v>
      </c>
      <c r="E220" s="102">
        <f t="shared" si="19"/>
        <v>730.5</v>
      </c>
      <c r="F220" s="120">
        <v>0</v>
      </c>
      <c r="G220" s="102">
        <v>0</v>
      </c>
      <c r="H220" s="121">
        <v>730.5</v>
      </c>
      <c r="I220" s="102">
        <v>0</v>
      </c>
      <c r="J220" s="102">
        <v>0</v>
      </c>
      <c r="K220" s="181"/>
      <c r="L220" s="182"/>
      <c r="M220" s="57"/>
    </row>
    <row r="221" spans="1:13" ht="23.1" customHeight="1" x14ac:dyDescent="0.25">
      <c r="A221" s="38"/>
      <c r="B221" s="199" t="s">
        <v>50</v>
      </c>
      <c r="C221" s="148">
        <v>0</v>
      </c>
      <c r="D221" s="101">
        <v>2018</v>
      </c>
      <c r="E221" s="102">
        <f t="shared" si="19"/>
        <v>50</v>
      </c>
      <c r="F221" s="102">
        <v>0</v>
      </c>
      <c r="G221" s="102">
        <v>0</v>
      </c>
      <c r="H221" s="102">
        <v>50</v>
      </c>
      <c r="I221" s="102">
        <v>0</v>
      </c>
      <c r="J221" s="102">
        <v>0</v>
      </c>
      <c r="K221" s="181"/>
      <c r="L221" s="182"/>
      <c r="M221" s="57"/>
    </row>
    <row r="222" spans="1:13" ht="23.1" customHeight="1" x14ac:dyDescent="0.25">
      <c r="A222" s="38"/>
      <c r="B222" s="199"/>
      <c r="C222" s="148">
        <v>0</v>
      </c>
      <c r="D222" s="101">
        <v>2019</v>
      </c>
      <c r="E222" s="102">
        <f t="shared" si="19"/>
        <v>39</v>
      </c>
      <c r="F222" s="102">
        <v>0</v>
      </c>
      <c r="G222" s="102">
        <v>0</v>
      </c>
      <c r="H222" s="102">
        <v>39</v>
      </c>
      <c r="I222" s="102">
        <v>0</v>
      </c>
      <c r="J222" s="102">
        <v>0</v>
      </c>
      <c r="K222" s="181"/>
      <c r="L222" s="182"/>
      <c r="M222" s="57"/>
    </row>
    <row r="223" spans="1:13" ht="23.1" customHeight="1" x14ac:dyDescent="0.25">
      <c r="A223" s="38"/>
      <c r="B223" s="199"/>
      <c r="C223" s="148">
        <v>0</v>
      </c>
      <c r="D223" s="104">
        <v>2020</v>
      </c>
      <c r="E223" s="102">
        <f t="shared" si="19"/>
        <v>0</v>
      </c>
      <c r="F223" s="120">
        <v>0</v>
      </c>
      <c r="G223" s="102">
        <v>0</v>
      </c>
      <c r="H223" s="102">
        <v>0</v>
      </c>
      <c r="I223" s="102">
        <v>0</v>
      </c>
      <c r="J223" s="102">
        <v>0</v>
      </c>
      <c r="K223" s="181"/>
      <c r="L223" s="182"/>
      <c r="M223" s="57"/>
    </row>
    <row r="224" spans="1:13" ht="23.1" customHeight="1" x14ac:dyDescent="0.25">
      <c r="A224" s="38"/>
      <c r="B224" s="199"/>
      <c r="C224" s="151">
        <v>0</v>
      </c>
      <c r="D224" s="104">
        <v>2021</v>
      </c>
      <c r="E224" s="102">
        <f t="shared" si="19"/>
        <v>0</v>
      </c>
      <c r="F224" s="120">
        <v>0</v>
      </c>
      <c r="G224" s="102">
        <v>0</v>
      </c>
      <c r="H224" s="102">
        <v>0</v>
      </c>
      <c r="I224" s="102">
        <v>0</v>
      </c>
      <c r="J224" s="102">
        <v>0</v>
      </c>
      <c r="K224" s="181"/>
      <c r="L224" s="182"/>
      <c r="M224" s="57"/>
    </row>
    <row r="225" spans="1:13" ht="23.1" customHeight="1" x14ac:dyDescent="0.25">
      <c r="A225" s="38"/>
      <c r="B225" s="199"/>
      <c r="C225" s="151">
        <v>0</v>
      </c>
      <c r="D225" s="104">
        <v>2022</v>
      </c>
      <c r="E225" s="102">
        <f t="shared" si="19"/>
        <v>0</v>
      </c>
      <c r="F225" s="120">
        <v>0</v>
      </c>
      <c r="G225" s="102">
        <v>0</v>
      </c>
      <c r="H225" s="102">
        <v>0</v>
      </c>
      <c r="I225" s="102">
        <v>0</v>
      </c>
      <c r="J225" s="102">
        <v>0</v>
      </c>
      <c r="K225" s="181"/>
      <c r="L225" s="182"/>
      <c r="M225" s="57"/>
    </row>
    <row r="226" spans="1:13" ht="23.1" customHeight="1" x14ac:dyDescent="0.25">
      <c r="A226" s="38"/>
      <c r="B226" s="199"/>
      <c r="C226" s="151">
        <v>0</v>
      </c>
      <c r="D226" s="104">
        <v>2023</v>
      </c>
      <c r="E226" s="102">
        <f t="shared" si="19"/>
        <v>0</v>
      </c>
      <c r="F226" s="120">
        <v>0</v>
      </c>
      <c r="G226" s="102">
        <v>0</v>
      </c>
      <c r="H226" s="102">
        <v>0</v>
      </c>
      <c r="I226" s="102">
        <v>0</v>
      </c>
      <c r="J226" s="102">
        <v>0</v>
      </c>
      <c r="K226" s="181"/>
      <c r="L226" s="182"/>
      <c r="M226" s="57"/>
    </row>
    <row r="227" spans="1:13" ht="23.1" customHeight="1" x14ac:dyDescent="0.25">
      <c r="A227" s="38"/>
      <c r="B227" s="199"/>
      <c r="C227" s="151">
        <v>0</v>
      </c>
      <c r="D227" s="104">
        <v>2024</v>
      </c>
      <c r="E227" s="102">
        <f t="shared" si="19"/>
        <v>0</v>
      </c>
      <c r="F227" s="120">
        <v>0</v>
      </c>
      <c r="G227" s="102">
        <v>0</v>
      </c>
      <c r="H227" s="102">
        <v>0</v>
      </c>
      <c r="I227" s="102">
        <v>0</v>
      </c>
      <c r="J227" s="102">
        <v>0</v>
      </c>
      <c r="K227" s="181"/>
      <c r="L227" s="182"/>
      <c r="M227" s="57"/>
    </row>
    <row r="228" spans="1:13" ht="23.1" customHeight="1" x14ac:dyDescent="0.25">
      <c r="A228" s="38"/>
      <c r="B228" s="199"/>
      <c r="C228" s="151">
        <v>0</v>
      </c>
      <c r="D228" s="104">
        <v>2025</v>
      </c>
      <c r="E228" s="102">
        <f t="shared" si="19"/>
        <v>0</v>
      </c>
      <c r="F228" s="120">
        <v>0</v>
      </c>
      <c r="G228" s="102">
        <v>0</v>
      </c>
      <c r="H228" s="102">
        <v>0</v>
      </c>
      <c r="I228" s="102">
        <v>0</v>
      </c>
      <c r="J228" s="102">
        <v>0</v>
      </c>
      <c r="K228" s="181"/>
      <c r="L228" s="182"/>
      <c r="M228" s="57"/>
    </row>
    <row r="229" spans="1:13" ht="23.1" customHeight="1" x14ac:dyDescent="0.25">
      <c r="A229" s="38"/>
      <c r="B229" s="199"/>
      <c r="C229" s="151"/>
      <c r="D229" s="104">
        <v>2026</v>
      </c>
      <c r="E229" s="102">
        <f t="shared" ref="E229" si="24">F229+G229+H229+J229</f>
        <v>0</v>
      </c>
      <c r="F229" s="120">
        <v>0</v>
      </c>
      <c r="G229" s="102">
        <v>0</v>
      </c>
      <c r="H229" s="102">
        <v>0</v>
      </c>
      <c r="I229" s="102">
        <v>0</v>
      </c>
      <c r="J229" s="102">
        <v>0</v>
      </c>
      <c r="K229" s="181"/>
      <c r="L229" s="182"/>
      <c r="M229" s="57"/>
    </row>
    <row r="230" spans="1:13" ht="23.1" customHeight="1" thickBot="1" x14ac:dyDescent="0.3">
      <c r="A230" s="39"/>
      <c r="B230" s="216"/>
      <c r="C230" s="158"/>
      <c r="D230" s="122">
        <v>2027</v>
      </c>
      <c r="E230" s="201">
        <f t="shared" si="19"/>
        <v>0</v>
      </c>
      <c r="F230" s="202">
        <v>0</v>
      </c>
      <c r="G230" s="201">
        <v>0</v>
      </c>
      <c r="H230" s="201">
        <v>0</v>
      </c>
      <c r="I230" s="201">
        <v>0</v>
      </c>
      <c r="J230" s="201">
        <v>0</v>
      </c>
      <c r="K230" s="184"/>
      <c r="L230" s="185"/>
      <c r="M230" s="57"/>
    </row>
    <row r="231" spans="1:13" ht="23.1" customHeight="1" x14ac:dyDescent="0.25">
      <c r="A231" s="38"/>
      <c r="B231" s="219" t="s">
        <v>51</v>
      </c>
      <c r="C231" s="205">
        <v>0</v>
      </c>
      <c r="D231" s="117">
        <v>2018</v>
      </c>
      <c r="E231" s="118">
        <f t="shared" si="19"/>
        <v>39824.9</v>
      </c>
      <c r="F231" s="118">
        <v>0</v>
      </c>
      <c r="G231" s="118">
        <v>0</v>
      </c>
      <c r="H231" s="118">
        <v>0</v>
      </c>
      <c r="I231" s="118">
        <v>0</v>
      </c>
      <c r="J231" s="118">
        <v>39824.9</v>
      </c>
      <c r="K231" s="181"/>
      <c r="L231" s="182"/>
      <c r="M231" s="57"/>
    </row>
    <row r="232" spans="1:13" ht="23.1" customHeight="1" x14ac:dyDescent="0.25">
      <c r="A232" s="38"/>
      <c r="B232" s="199"/>
      <c r="C232" s="148">
        <v>0</v>
      </c>
      <c r="D232" s="101">
        <v>2019</v>
      </c>
      <c r="E232" s="102">
        <f t="shared" si="19"/>
        <v>39150</v>
      </c>
      <c r="F232" s="102">
        <v>0</v>
      </c>
      <c r="G232" s="102">
        <v>0</v>
      </c>
      <c r="H232" s="102">
        <v>0</v>
      </c>
      <c r="I232" s="102">
        <v>0</v>
      </c>
      <c r="J232" s="102">
        <v>39150</v>
      </c>
      <c r="K232" s="181"/>
      <c r="L232" s="182"/>
      <c r="M232" s="57"/>
    </row>
    <row r="233" spans="1:13" ht="23.1" customHeight="1" x14ac:dyDescent="0.25">
      <c r="A233" s="38"/>
      <c r="B233" s="199"/>
      <c r="C233" s="148">
        <v>0</v>
      </c>
      <c r="D233" s="104">
        <v>2020</v>
      </c>
      <c r="E233" s="102">
        <f t="shared" si="19"/>
        <v>41017</v>
      </c>
      <c r="F233" s="120">
        <v>0</v>
      </c>
      <c r="G233" s="102">
        <v>0</v>
      </c>
      <c r="H233" s="102">
        <v>0</v>
      </c>
      <c r="I233" s="102">
        <v>0</v>
      </c>
      <c r="J233" s="102">
        <v>41017</v>
      </c>
      <c r="K233" s="181"/>
      <c r="L233" s="182"/>
      <c r="M233" s="57"/>
    </row>
    <row r="234" spans="1:13" ht="23.1" customHeight="1" x14ac:dyDescent="0.25">
      <c r="A234" s="38"/>
      <c r="B234" s="199"/>
      <c r="C234" s="151">
        <v>0</v>
      </c>
      <c r="D234" s="104">
        <v>2021</v>
      </c>
      <c r="E234" s="102">
        <f t="shared" si="19"/>
        <v>22420</v>
      </c>
      <c r="F234" s="120">
        <v>0</v>
      </c>
      <c r="G234" s="102">
        <v>0</v>
      </c>
      <c r="H234" s="102">
        <v>0</v>
      </c>
      <c r="I234" s="102">
        <v>0</v>
      </c>
      <c r="J234" s="102">
        <v>22420</v>
      </c>
      <c r="K234" s="181"/>
      <c r="L234" s="182"/>
      <c r="M234" s="57"/>
    </row>
    <row r="235" spans="1:13" ht="23.1" customHeight="1" x14ac:dyDescent="0.25">
      <c r="A235" s="38"/>
      <c r="B235" s="199"/>
      <c r="C235" s="151">
        <v>0</v>
      </c>
      <c r="D235" s="104">
        <v>2022</v>
      </c>
      <c r="E235" s="102">
        <f t="shared" si="19"/>
        <v>25420</v>
      </c>
      <c r="F235" s="120">
        <v>0</v>
      </c>
      <c r="G235" s="102">
        <v>0</v>
      </c>
      <c r="H235" s="102">
        <v>0</v>
      </c>
      <c r="I235" s="102">
        <v>0</v>
      </c>
      <c r="J235" s="102">
        <v>25420</v>
      </c>
      <c r="K235" s="181"/>
      <c r="L235" s="182"/>
      <c r="M235" s="57"/>
    </row>
    <row r="236" spans="1:13" ht="23.1" customHeight="1" x14ac:dyDescent="0.25">
      <c r="A236" s="38"/>
      <c r="B236" s="199"/>
      <c r="C236" s="151">
        <v>0</v>
      </c>
      <c r="D236" s="104">
        <v>2023</v>
      </c>
      <c r="E236" s="102">
        <f t="shared" si="19"/>
        <v>27000</v>
      </c>
      <c r="F236" s="120">
        <v>0</v>
      </c>
      <c r="G236" s="102">
        <v>0</v>
      </c>
      <c r="H236" s="102">
        <v>0</v>
      </c>
      <c r="I236" s="102">
        <v>0</v>
      </c>
      <c r="J236" s="102">
        <f>25420+1580</f>
        <v>27000</v>
      </c>
      <c r="K236" s="181"/>
      <c r="L236" s="182"/>
      <c r="M236" s="57"/>
    </row>
    <row r="237" spans="1:13" ht="23.1" customHeight="1" x14ac:dyDescent="0.25">
      <c r="A237" s="38"/>
      <c r="B237" s="199"/>
      <c r="C237" s="151">
        <v>0</v>
      </c>
      <c r="D237" s="104">
        <v>2024</v>
      </c>
      <c r="E237" s="102">
        <f t="shared" si="19"/>
        <v>47000</v>
      </c>
      <c r="F237" s="120">
        <v>0</v>
      </c>
      <c r="G237" s="102">
        <v>0</v>
      </c>
      <c r="H237" s="102">
        <v>0</v>
      </c>
      <c r="I237" s="102">
        <v>0</v>
      </c>
      <c r="J237" s="102">
        <f>27000+20000</f>
        <v>47000</v>
      </c>
      <c r="K237" s="181"/>
      <c r="L237" s="182"/>
      <c r="M237" s="57"/>
    </row>
    <row r="238" spans="1:13" ht="23.1" customHeight="1" x14ac:dyDescent="0.25">
      <c r="A238" s="38"/>
      <c r="B238" s="199"/>
      <c r="C238" s="151">
        <v>0</v>
      </c>
      <c r="D238" s="104">
        <v>2025</v>
      </c>
      <c r="E238" s="102">
        <f t="shared" si="19"/>
        <v>47000</v>
      </c>
      <c r="F238" s="120">
        <v>0</v>
      </c>
      <c r="G238" s="102">
        <v>0</v>
      </c>
      <c r="H238" s="102">
        <v>0</v>
      </c>
      <c r="I238" s="102">
        <v>0</v>
      </c>
      <c r="J238" s="102">
        <v>47000</v>
      </c>
      <c r="K238" s="181"/>
      <c r="L238" s="182"/>
      <c r="M238" s="57"/>
    </row>
    <row r="239" spans="1:13" ht="23.1" customHeight="1" x14ac:dyDescent="0.25">
      <c r="A239" s="38"/>
      <c r="B239" s="213"/>
      <c r="C239" s="153"/>
      <c r="D239" s="104">
        <v>2026</v>
      </c>
      <c r="E239" s="102">
        <f t="shared" ref="E239" si="25">F239+G239+H239+J239</f>
        <v>47000</v>
      </c>
      <c r="F239" s="120">
        <v>0</v>
      </c>
      <c r="G239" s="102">
        <v>0</v>
      </c>
      <c r="H239" s="102">
        <v>0</v>
      </c>
      <c r="I239" s="102">
        <v>0</v>
      </c>
      <c r="J239" s="102">
        <v>47000</v>
      </c>
      <c r="K239" s="181"/>
      <c r="L239" s="182"/>
      <c r="M239" s="57"/>
    </row>
    <row r="240" spans="1:13" ht="23.1" customHeight="1" thickBot="1" x14ac:dyDescent="0.3">
      <c r="A240" s="39"/>
      <c r="B240" s="216"/>
      <c r="C240" s="158"/>
      <c r="D240" s="122">
        <v>2027</v>
      </c>
      <c r="E240" s="201">
        <f t="shared" si="19"/>
        <v>47000</v>
      </c>
      <c r="F240" s="202">
        <v>0</v>
      </c>
      <c r="G240" s="201">
        <v>0</v>
      </c>
      <c r="H240" s="201">
        <v>0</v>
      </c>
      <c r="I240" s="201">
        <v>0</v>
      </c>
      <c r="J240" s="201">
        <v>47000</v>
      </c>
      <c r="K240" s="184"/>
      <c r="L240" s="185"/>
      <c r="M240" s="57"/>
    </row>
    <row r="241" spans="1:13" ht="23.1" customHeight="1" x14ac:dyDescent="0.25">
      <c r="A241" s="43" t="s">
        <v>52</v>
      </c>
      <c r="B241" s="219" t="s">
        <v>53</v>
      </c>
      <c r="C241" s="205">
        <v>0</v>
      </c>
      <c r="D241" s="117">
        <v>2018</v>
      </c>
      <c r="E241" s="118">
        <f t="shared" si="19"/>
        <v>44244.2</v>
      </c>
      <c r="F241" s="118">
        <v>0</v>
      </c>
      <c r="G241" s="118">
        <v>0</v>
      </c>
      <c r="H241" s="118">
        <f>H251+H261+H285+H295+H305+H315</f>
        <v>44244.2</v>
      </c>
      <c r="I241" s="118">
        <v>0</v>
      </c>
      <c r="J241" s="118">
        <v>0</v>
      </c>
      <c r="K241" s="119" t="s">
        <v>182</v>
      </c>
      <c r="L241" s="220" t="s">
        <v>31</v>
      </c>
      <c r="M241" s="57"/>
    </row>
    <row r="242" spans="1:13" ht="23.1" customHeight="1" x14ac:dyDescent="0.25">
      <c r="A242" s="43"/>
      <c r="B242" s="199"/>
      <c r="C242" s="148">
        <v>0</v>
      </c>
      <c r="D242" s="101">
        <v>2019</v>
      </c>
      <c r="E242" s="102">
        <f t="shared" si="19"/>
        <v>47609.9</v>
      </c>
      <c r="F242" s="102">
        <v>0</v>
      </c>
      <c r="G242" s="102">
        <v>0</v>
      </c>
      <c r="H242" s="102">
        <f>H252+H262+H286+H296+H306+H316</f>
        <v>47609.9</v>
      </c>
      <c r="I242" s="102">
        <v>0</v>
      </c>
      <c r="J242" s="102">
        <v>0</v>
      </c>
      <c r="K242" s="103"/>
      <c r="L242" s="149"/>
      <c r="M242" s="57"/>
    </row>
    <row r="243" spans="1:13" ht="23.1" customHeight="1" x14ac:dyDescent="0.25">
      <c r="A243" s="43"/>
      <c r="B243" s="199"/>
      <c r="C243" s="148">
        <v>0</v>
      </c>
      <c r="D243" s="104">
        <v>2020</v>
      </c>
      <c r="E243" s="102">
        <f t="shared" si="19"/>
        <v>51076.5</v>
      </c>
      <c r="F243" s="120">
        <v>0</v>
      </c>
      <c r="G243" s="102">
        <v>0</v>
      </c>
      <c r="H243" s="102">
        <f>H253+H263+H287+H297+H307+H317</f>
        <v>51076.5</v>
      </c>
      <c r="I243" s="102">
        <v>0</v>
      </c>
      <c r="J243" s="102">
        <v>0</v>
      </c>
      <c r="K243" s="103"/>
      <c r="L243" s="149"/>
      <c r="M243" s="57"/>
    </row>
    <row r="244" spans="1:13" ht="23.1" customHeight="1" x14ac:dyDescent="0.25">
      <c r="A244" s="43"/>
      <c r="B244" s="199"/>
      <c r="C244" s="151">
        <v>0</v>
      </c>
      <c r="D244" s="104">
        <v>2021</v>
      </c>
      <c r="E244" s="102">
        <f t="shared" si="19"/>
        <v>63313.9</v>
      </c>
      <c r="F244" s="120">
        <v>0</v>
      </c>
      <c r="G244" s="102">
        <v>0</v>
      </c>
      <c r="H244" s="102">
        <f>H254+H264+H288+H298+H308+H318</f>
        <v>63313.9</v>
      </c>
      <c r="I244" s="102">
        <v>0</v>
      </c>
      <c r="J244" s="102">
        <v>0</v>
      </c>
      <c r="K244" s="103"/>
      <c r="L244" s="149"/>
      <c r="M244" s="57"/>
    </row>
    <row r="245" spans="1:13" ht="23.1" customHeight="1" x14ac:dyDescent="0.25">
      <c r="A245" s="43"/>
      <c r="B245" s="199"/>
      <c r="C245" s="151">
        <v>0</v>
      </c>
      <c r="D245" s="104">
        <v>2022</v>
      </c>
      <c r="E245" s="102">
        <f t="shared" si="19"/>
        <v>66304.399999999994</v>
      </c>
      <c r="F245" s="120">
        <v>0</v>
      </c>
      <c r="G245" s="102">
        <v>0</v>
      </c>
      <c r="H245" s="102">
        <f t="shared" ref="H245:H248" si="26">H255+H289+H299+H309+H319</f>
        <v>66304.399999999994</v>
      </c>
      <c r="I245" s="102">
        <v>0</v>
      </c>
      <c r="J245" s="102">
        <v>0</v>
      </c>
      <c r="K245" s="103"/>
      <c r="L245" s="149"/>
      <c r="M245" s="57"/>
    </row>
    <row r="246" spans="1:13" ht="23.1" customHeight="1" x14ac:dyDescent="0.25">
      <c r="A246" s="43"/>
      <c r="B246" s="199"/>
      <c r="C246" s="151">
        <v>0</v>
      </c>
      <c r="D246" s="104">
        <v>2023</v>
      </c>
      <c r="E246" s="102">
        <f t="shared" si="19"/>
        <v>70480.800000000003</v>
      </c>
      <c r="F246" s="120">
        <v>0</v>
      </c>
      <c r="G246" s="102">
        <v>0</v>
      </c>
      <c r="H246" s="102">
        <f>H256+H290+H300+H310+H320</f>
        <v>70480.800000000003</v>
      </c>
      <c r="I246" s="102">
        <v>0</v>
      </c>
      <c r="J246" s="102">
        <v>0</v>
      </c>
      <c r="K246" s="103"/>
      <c r="L246" s="149"/>
      <c r="M246" s="57"/>
    </row>
    <row r="247" spans="1:13" ht="23.1" customHeight="1" x14ac:dyDescent="0.25">
      <c r="A247" s="43"/>
      <c r="B247" s="199"/>
      <c r="C247" s="151">
        <v>0</v>
      </c>
      <c r="D247" s="104">
        <v>2024</v>
      </c>
      <c r="E247" s="102">
        <f>F247+G247+H247+J247</f>
        <v>90736.800000000017</v>
      </c>
      <c r="F247" s="120">
        <v>0</v>
      </c>
      <c r="G247" s="102">
        <v>0</v>
      </c>
      <c r="H247" s="102">
        <f>H257+H291+H301+H311+H321</f>
        <v>90736.800000000017</v>
      </c>
      <c r="I247" s="102">
        <v>0</v>
      </c>
      <c r="J247" s="102">
        <v>0</v>
      </c>
      <c r="K247" s="103"/>
      <c r="L247" s="149"/>
      <c r="M247" s="57"/>
    </row>
    <row r="248" spans="1:13" ht="23.1" customHeight="1" x14ac:dyDescent="0.25">
      <c r="A248" s="43"/>
      <c r="B248" s="199"/>
      <c r="C248" s="151">
        <v>0</v>
      </c>
      <c r="D248" s="104">
        <v>2025</v>
      </c>
      <c r="E248" s="102">
        <f t="shared" si="19"/>
        <v>106207.79999999999</v>
      </c>
      <c r="F248" s="120">
        <v>0</v>
      </c>
      <c r="G248" s="102">
        <v>0</v>
      </c>
      <c r="H248" s="102">
        <f t="shared" si="26"/>
        <v>106207.79999999999</v>
      </c>
      <c r="I248" s="102">
        <v>0</v>
      </c>
      <c r="J248" s="102">
        <v>0</v>
      </c>
      <c r="K248" s="103"/>
      <c r="L248" s="149"/>
      <c r="M248" s="57"/>
    </row>
    <row r="249" spans="1:13" ht="23.1" customHeight="1" x14ac:dyDescent="0.25">
      <c r="A249" s="43"/>
      <c r="B249" s="199"/>
      <c r="C249" s="151"/>
      <c r="D249" s="104">
        <v>2026</v>
      </c>
      <c r="E249" s="102">
        <f t="shared" ref="E249" si="27">F249+G249+H249+J249</f>
        <v>106205.29999999999</v>
      </c>
      <c r="F249" s="120">
        <v>0</v>
      </c>
      <c r="G249" s="102">
        <v>0</v>
      </c>
      <c r="H249" s="102">
        <f>H259+H293+H303+H313+H323</f>
        <v>106205.29999999999</v>
      </c>
      <c r="I249" s="102">
        <v>0</v>
      </c>
      <c r="J249" s="102">
        <v>0</v>
      </c>
      <c r="K249" s="103"/>
      <c r="L249" s="149"/>
      <c r="M249" s="57"/>
    </row>
    <row r="250" spans="1:13" ht="23.1" customHeight="1" x14ac:dyDescent="0.25">
      <c r="A250" s="43"/>
      <c r="B250" s="199"/>
      <c r="C250" s="151"/>
      <c r="D250" s="104">
        <v>2027</v>
      </c>
      <c r="E250" s="102">
        <f t="shared" si="19"/>
        <v>106205.29999999999</v>
      </c>
      <c r="F250" s="120">
        <v>0</v>
      </c>
      <c r="G250" s="102">
        <v>0</v>
      </c>
      <c r="H250" s="102">
        <f>H260+H294+H304+H314+H324</f>
        <v>106205.29999999999</v>
      </c>
      <c r="I250" s="102">
        <v>0</v>
      </c>
      <c r="J250" s="102">
        <v>0</v>
      </c>
      <c r="K250" s="103"/>
      <c r="L250" s="149"/>
      <c r="M250" s="57"/>
    </row>
    <row r="251" spans="1:13" ht="23.1" customHeight="1" x14ac:dyDescent="0.25">
      <c r="A251" s="43"/>
      <c r="B251" s="199" t="s">
        <v>54</v>
      </c>
      <c r="C251" s="99" t="e">
        <f>#REF!+#REF!+#REF!+#REF!+#REF!+#REF!+#REF!+#REF!</f>
        <v>#REF!</v>
      </c>
      <c r="D251" s="101">
        <v>2018</v>
      </c>
      <c r="E251" s="102">
        <f t="shared" si="19"/>
        <v>44244.2</v>
      </c>
      <c r="F251" s="102">
        <v>0</v>
      </c>
      <c r="G251" s="102">
        <v>0</v>
      </c>
      <c r="H251" s="102">
        <v>44244.2</v>
      </c>
      <c r="I251" s="102">
        <v>0</v>
      </c>
      <c r="J251" s="102">
        <v>0</v>
      </c>
      <c r="K251" s="103"/>
      <c r="L251" s="149"/>
      <c r="M251" s="57"/>
    </row>
    <row r="252" spans="1:13" ht="23.1" customHeight="1" x14ac:dyDescent="0.25">
      <c r="A252" s="43"/>
      <c r="B252" s="199"/>
      <c r="C252" s="99"/>
      <c r="D252" s="101">
        <v>2019</v>
      </c>
      <c r="E252" s="102">
        <f t="shared" si="19"/>
        <v>47609.9</v>
      </c>
      <c r="F252" s="102">
        <v>0</v>
      </c>
      <c r="G252" s="102">
        <v>0</v>
      </c>
      <c r="H252" s="102">
        <v>47609.9</v>
      </c>
      <c r="I252" s="102">
        <v>0</v>
      </c>
      <c r="J252" s="102">
        <v>0</v>
      </c>
      <c r="K252" s="103"/>
      <c r="L252" s="149"/>
      <c r="M252" s="57"/>
    </row>
    <row r="253" spans="1:13" ht="23.1" customHeight="1" x14ac:dyDescent="0.25">
      <c r="A253" s="43"/>
      <c r="B253" s="199"/>
      <c r="C253" s="99"/>
      <c r="D253" s="104">
        <v>2020</v>
      </c>
      <c r="E253" s="102">
        <f t="shared" si="19"/>
        <v>49767.7</v>
      </c>
      <c r="F253" s="120">
        <v>0</v>
      </c>
      <c r="G253" s="102">
        <v>0</v>
      </c>
      <c r="H253" s="102">
        <v>49767.7</v>
      </c>
      <c r="I253" s="102">
        <v>0</v>
      </c>
      <c r="J253" s="102">
        <v>0</v>
      </c>
      <c r="K253" s="103"/>
      <c r="L253" s="149"/>
      <c r="M253" s="57"/>
    </row>
    <row r="254" spans="1:13" ht="23.1" customHeight="1" x14ac:dyDescent="0.25">
      <c r="A254" s="43"/>
      <c r="B254" s="199"/>
      <c r="C254" s="99"/>
      <c r="D254" s="104">
        <v>2021</v>
      </c>
      <c r="E254" s="102">
        <f t="shared" si="19"/>
        <v>49052.9</v>
      </c>
      <c r="F254" s="120">
        <v>0</v>
      </c>
      <c r="G254" s="102">
        <v>0</v>
      </c>
      <c r="H254" s="102">
        <v>49052.9</v>
      </c>
      <c r="I254" s="102">
        <v>0</v>
      </c>
      <c r="J254" s="102">
        <v>0</v>
      </c>
      <c r="K254" s="103"/>
      <c r="L254" s="149"/>
      <c r="M254" s="57"/>
    </row>
    <row r="255" spans="1:13" ht="23.1" customHeight="1" x14ac:dyDescent="0.25">
      <c r="A255" s="43"/>
      <c r="B255" s="199"/>
      <c r="C255" s="99"/>
      <c r="D255" s="104">
        <v>2022</v>
      </c>
      <c r="E255" s="102">
        <f t="shared" si="19"/>
        <v>64392.5</v>
      </c>
      <c r="F255" s="120">
        <v>0</v>
      </c>
      <c r="G255" s="102">
        <v>0</v>
      </c>
      <c r="H255" s="102">
        <f>56918.6-671.6+240.5+H265+459.1+200.4-70-2412.3+1746.8</f>
        <v>64392.5</v>
      </c>
      <c r="I255" s="102">
        <v>0</v>
      </c>
      <c r="J255" s="102">
        <v>0</v>
      </c>
      <c r="K255" s="103"/>
      <c r="L255" s="149"/>
      <c r="M255" s="57"/>
    </row>
    <row r="256" spans="1:13" ht="23.1" customHeight="1" x14ac:dyDescent="0.25">
      <c r="A256" s="43"/>
      <c r="B256" s="199"/>
      <c r="C256" s="99"/>
      <c r="D256" s="104">
        <v>2023</v>
      </c>
      <c r="E256" s="102">
        <f t="shared" si="19"/>
        <v>67615.600000000006</v>
      </c>
      <c r="F256" s="120">
        <v>0</v>
      </c>
      <c r="G256" s="102">
        <v>0</v>
      </c>
      <c r="H256" s="102">
        <f>63201.8+H266+H276</f>
        <v>67615.600000000006</v>
      </c>
      <c r="I256" s="102">
        <v>0</v>
      </c>
      <c r="J256" s="102">
        <v>0</v>
      </c>
      <c r="K256" s="103"/>
      <c r="L256" s="149"/>
      <c r="M256" s="57">
        <f>24847.2+11378.4+21794.2+4153.8+2807.3</f>
        <v>64980.900000000009</v>
      </c>
    </row>
    <row r="257" spans="1:13" ht="23.1" customHeight="1" x14ac:dyDescent="0.25">
      <c r="A257" s="43"/>
      <c r="B257" s="199"/>
      <c r="C257" s="99"/>
      <c r="D257" s="104">
        <v>2024</v>
      </c>
      <c r="E257" s="102">
        <f t="shared" si="19"/>
        <v>87131.400000000009</v>
      </c>
      <c r="F257" s="120">
        <v>0</v>
      </c>
      <c r="G257" s="102">
        <v>0</v>
      </c>
      <c r="H257" s="121">
        <f>67808.4+920+870.1+H281+5076.3+2125.8+593.2</f>
        <v>87131.400000000009</v>
      </c>
      <c r="I257" s="102">
        <v>0</v>
      </c>
      <c r="J257" s="102">
        <v>0</v>
      </c>
      <c r="K257" s="103"/>
      <c r="L257" s="149"/>
      <c r="M257" s="57"/>
    </row>
    <row r="258" spans="1:13" ht="23.1" customHeight="1" x14ac:dyDescent="0.25">
      <c r="A258" s="43"/>
      <c r="B258" s="199"/>
      <c r="C258" s="99"/>
      <c r="D258" s="104">
        <v>2025</v>
      </c>
      <c r="E258" s="102">
        <f t="shared" si="19"/>
        <v>101899</v>
      </c>
      <c r="F258" s="120">
        <v>0</v>
      </c>
      <c r="G258" s="102">
        <v>0</v>
      </c>
      <c r="H258" s="121">
        <f>91713.4+H282</f>
        <v>101899</v>
      </c>
      <c r="I258" s="102">
        <v>0</v>
      </c>
      <c r="J258" s="102">
        <v>0</v>
      </c>
      <c r="K258" s="103"/>
      <c r="L258" s="149"/>
      <c r="M258" s="57"/>
    </row>
    <row r="259" spans="1:13" ht="23.1" customHeight="1" x14ac:dyDescent="0.25">
      <c r="A259" s="43"/>
      <c r="B259" s="213"/>
      <c r="C259" s="107"/>
      <c r="D259" s="108">
        <v>2026</v>
      </c>
      <c r="E259" s="154">
        <f t="shared" ref="E259" si="28">F259+G259+H259+J259</f>
        <v>101899</v>
      </c>
      <c r="F259" s="157">
        <v>0</v>
      </c>
      <c r="G259" s="154">
        <v>0</v>
      </c>
      <c r="H259" s="155">
        <v>101899</v>
      </c>
      <c r="I259" s="154">
        <v>0</v>
      </c>
      <c r="J259" s="154">
        <v>0</v>
      </c>
      <c r="K259" s="109"/>
      <c r="L259" s="156"/>
      <c r="M259" s="57"/>
    </row>
    <row r="260" spans="1:13" ht="23.1" customHeight="1" x14ac:dyDescent="0.25">
      <c r="A260" s="43"/>
      <c r="B260" s="213"/>
      <c r="C260" s="107"/>
      <c r="D260" s="108">
        <v>2027</v>
      </c>
      <c r="E260" s="154">
        <f t="shared" si="19"/>
        <v>101899</v>
      </c>
      <c r="F260" s="157">
        <v>0</v>
      </c>
      <c r="G260" s="154">
        <v>0</v>
      </c>
      <c r="H260" s="155">
        <v>101899</v>
      </c>
      <c r="I260" s="154">
        <v>0</v>
      </c>
      <c r="J260" s="154">
        <v>0</v>
      </c>
      <c r="K260" s="109"/>
      <c r="L260" s="156"/>
      <c r="M260" s="57"/>
    </row>
    <row r="261" spans="1:13" ht="23.1" customHeight="1" x14ac:dyDescent="0.25">
      <c r="A261" s="221"/>
      <c r="B261" s="199" t="s">
        <v>55</v>
      </c>
      <c r="C261" s="148">
        <v>0</v>
      </c>
      <c r="D261" s="101">
        <v>2018</v>
      </c>
      <c r="E261" s="102">
        <f t="shared" si="19"/>
        <v>0</v>
      </c>
      <c r="F261" s="102">
        <v>0</v>
      </c>
      <c r="G261" s="102">
        <v>0</v>
      </c>
      <c r="H261" s="102">
        <v>0</v>
      </c>
      <c r="I261" s="102">
        <v>0</v>
      </c>
      <c r="J261" s="102">
        <v>0</v>
      </c>
      <c r="K261" s="109"/>
      <c r="L261" s="109"/>
      <c r="M261" s="57"/>
    </row>
    <row r="262" spans="1:13" ht="23.1" customHeight="1" x14ac:dyDescent="0.25">
      <c r="A262" s="222"/>
      <c r="B262" s="199"/>
      <c r="C262" s="148">
        <v>0</v>
      </c>
      <c r="D262" s="101">
        <v>2019</v>
      </c>
      <c r="E262" s="102">
        <f t="shared" ref="E262:E355" si="29">F262+G262+H262+J262</f>
        <v>0</v>
      </c>
      <c r="F262" s="102">
        <v>0</v>
      </c>
      <c r="G262" s="102">
        <v>0</v>
      </c>
      <c r="H262" s="102">
        <v>0</v>
      </c>
      <c r="I262" s="102">
        <v>0</v>
      </c>
      <c r="J262" s="102">
        <v>0</v>
      </c>
      <c r="K262" s="181"/>
      <c r="L262" s="181"/>
      <c r="M262" s="57"/>
    </row>
    <row r="263" spans="1:13" ht="23.1" customHeight="1" x14ac:dyDescent="0.25">
      <c r="A263" s="222"/>
      <c r="B263" s="199"/>
      <c r="C263" s="148">
        <v>0</v>
      </c>
      <c r="D263" s="104">
        <v>2020</v>
      </c>
      <c r="E263" s="102">
        <f t="shared" si="29"/>
        <v>1304</v>
      </c>
      <c r="F263" s="120">
        <v>0</v>
      </c>
      <c r="G263" s="102">
        <v>0</v>
      </c>
      <c r="H263" s="102">
        <v>1304</v>
      </c>
      <c r="I263" s="102">
        <v>0</v>
      </c>
      <c r="J263" s="102">
        <v>0</v>
      </c>
      <c r="K263" s="181"/>
      <c r="L263" s="181"/>
      <c r="M263" s="57"/>
    </row>
    <row r="264" spans="1:13" ht="23.1" customHeight="1" x14ac:dyDescent="0.25">
      <c r="A264" s="222"/>
      <c r="B264" s="199"/>
      <c r="C264" s="151">
        <v>0</v>
      </c>
      <c r="D264" s="104">
        <v>2021</v>
      </c>
      <c r="E264" s="102">
        <f t="shared" si="29"/>
        <v>8328.6</v>
      </c>
      <c r="F264" s="120">
        <v>0</v>
      </c>
      <c r="G264" s="102">
        <v>0</v>
      </c>
      <c r="H264" s="102">
        <v>8328.6</v>
      </c>
      <c r="I264" s="102">
        <v>0</v>
      </c>
      <c r="J264" s="102">
        <v>0</v>
      </c>
      <c r="K264" s="181"/>
      <c r="L264" s="181"/>
      <c r="M264" s="57"/>
    </row>
    <row r="265" spans="1:13" ht="23.1" customHeight="1" x14ac:dyDescent="0.25">
      <c r="A265" s="222"/>
      <c r="B265" s="199"/>
      <c r="C265" s="151">
        <v>0</v>
      </c>
      <c r="D265" s="104">
        <v>2022</v>
      </c>
      <c r="E265" s="102">
        <f t="shared" si="29"/>
        <v>7981</v>
      </c>
      <c r="F265" s="120">
        <v>0</v>
      </c>
      <c r="G265" s="102">
        <v>0</v>
      </c>
      <c r="H265" s="102">
        <f>8640.5-459.1-200.4</f>
        <v>7981</v>
      </c>
      <c r="I265" s="102">
        <v>0</v>
      </c>
      <c r="J265" s="102">
        <v>0</v>
      </c>
      <c r="K265" s="181"/>
      <c r="L265" s="181"/>
      <c r="M265" s="57"/>
    </row>
    <row r="266" spans="1:13" ht="23.1" customHeight="1" x14ac:dyDescent="0.25">
      <c r="A266" s="222"/>
      <c r="B266" s="199"/>
      <c r="C266" s="151">
        <v>0</v>
      </c>
      <c r="D266" s="104">
        <v>2023</v>
      </c>
      <c r="E266" s="102">
        <f t="shared" si="29"/>
        <v>882.80000000000018</v>
      </c>
      <c r="F266" s="120">
        <v>0</v>
      </c>
      <c r="G266" s="102">
        <v>0</v>
      </c>
      <c r="H266" s="102">
        <f>4413.8-H276</f>
        <v>882.80000000000018</v>
      </c>
      <c r="I266" s="102">
        <v>0</v>
      </c>
      <c r="J266" s="102">
        <v>0</v>
      </c>
      <c r="K266" s="181"/>
      <c r="L266" s="181"/>
      <c r="M266" s="57"/>
    </row>
    <row r="267" spans="1:13" ht="23.1" customHeight="1" x14ac:dyDescent="0.25">
      <c r="A267" s="222"/>
      <c r="B267" s="199"/>
      <c r="C267" s="151">
        <v>0</v>
      </c>
      <c r="D267" s="104">
        <v>2024</v>
      </c>
      <c r="E267" s="102">
        <f t="shared" si="29"/>
        <v>0</v>
      </c>
      <c r="F267" s="120">
        <v>0</v>
      </c>
      <c r="G267" s="102">
        <v>0</v>
      </c>
      <c r="H267" s="121">
        <v>0</v>
      </c>
      <c r="I267" s="102">
        <v>0</v>
      </c>
      <c r="J267" s="102">
        <v>0</v>
      </c>
      <c r="K267" s="181"/>
      <c r="L267" s="181"/>
      <c r="M267" s="57"/>
    </row>
    <row r="268" spans="1:13" ht="23.1" customHeight="1" x14ac:dyDescent="0.25">
      <c r="A268" s="222"/>
      <c r="B268" s="199"/>
      <c r="C268" s="151">
        <v>0</v>
      </c>
      <c r="D268" s="104">
        <v>2025</v>
      </c>
      <c r="E268" s="102">
        <f>F268+G268+H268+J268</f>
        <v>0</v>
      </c>
      <c r="F268" s="120">
        <v>0</v>
      </c>
      <c r="G268" s="102">
        <v>0</v>
      </c>
      <c r="H268" s="121">
        <v>0</v>
      </c>
      <c r="I268" s="102">
        <v>0</v>
      </c>
      <c r="J268" s="102">
        <v>0</v>
      </c>
      <c r="K268" s="181"/>
      <c r="L268" s="181"/>
      <c r="M268" s="57"/>
    </row>
    <row r="269" spans="1:13" ht="23.1" customHeight="1" x14ac:dyDescent="0.25">
      <c r="A269" s="222"/>
      <c r="B269" s="199"/>
      <c r="C269" s="151"/>
      <c r="D269" s="104">
        <v>2026</v>
      </c>
      <c r="E269" s="102">
        <v>0</v>
      </c>
      <c r="F269" s="120">
        <v>0</v>
      </c>
      <c r="G269" s="102">
        <v>0</v>
      </c>
      <c r="H269" s="121">
        <v>0</v>
      </c>
      <c r="I269" s="102">
        <v>0</v>
      </c>
      <c r="J269" s="102">
        <v>0</v>
      </c>
      <c r="K269" s="181"/>
      <c r="L269" s="181"/>
      <c r="M269" s="57"/>
    </row>
    <row r="270" spans="1:13" ht="23.1" customHeight="1" x14ac:dyDescent="0.25">
      <c r="A270" s="223"/>
      <c r="B270" s="199"/>
      <c r="C270" s="151"/>
      <c r="D270" s="104">
        <v>2027</v>
      </c>
      <c r="E270" s="102">
        <f>F270+G270+H270+J270</f>
        <v>0</v>
      </c>
      <c r="F270" s="120">
        <v>0</v>
      </c>
      <c r="G270" s="102">
        <v>0</v>
      </c>
      <c r="H270" s="121">
        <v>0</v>
      </c>
      <c r="I270" s="102">
        <v>0</v>
      </c>
      <c r="J270" s="102">
        <v>0</v>
      </c>
      <c r="K270" s="119"/>
      <c r="L270" s="119"/>
      <c r="M270" s="57"/>
    </row>
    <row r="271" spans="1:13" ht="20.45" customHeight="1" x14ac:dyDescent="0.25">
      <c r="A271" s="20" t="s">
        <v>52</v>
      </c>
      <c r="B271" s="199" t="s">
        <v>297</v>
      </c>
      <c r="C271" s="148">
        <v>0</v>
      </c>
      <c r="D271" s="101">
        <v>2018</v>
      </c>
      <c r="E271" s="102">
        <f t="shared" ref="E271:E276" si="30">F271+G271+H271+J271</f>
        <v>0</v>
      </c>
      <c r="F271" s="102">
        <v>0</v>
      </c>
      <c r="G271" s="102">
        <v>0</v>
      </c>
      <c r="H271" s="102">
        <v>0</v>
      </c>
      <c r="I271" s="102">
        <v>0</v>
      </c>
      <c r="J271" s="102">
        <v>0</v>
      </c>
      <c r="K271" s="109"/>
      <c r="L271" s="109"/>
      <c r="M271" s="57"/>
    </row>
    <row r="272" spans="1:13" ht="20.45" customHeight="1" x14ac:dyDescent="0.25">
      <c r="A272" s="20"/>
      <c r="B272" s="199"/>
      <c r="C272" s="148">
        <v>0</v>
      </c>
      <c r="D272" s="101">
        <v>2019</v>
      </c>
      <c r="E272" s="102">
        <f t="shared" si="30"/>
        <v>0</v>
      </c>
      <c r="F272" s="102">
        <v>0</v>
      </c>
      <c r="G272" s="102">
        <v>0</v>
      </c>
      <c r="H272" s="102">
        <v>0</v>
      </c>
      <c r="I272" s="102">
        <v>0</v>
      </c>
      <c r="J272" s="102">
        <v>0</v>
      </c>
      <c r="K272" s="181"/>
      <c r="L272" s="181"/>
      <c r="M272" s="57"/>
    </row>
    <row r="273" spans="1:13" ht="20.45" customHeight="1" x14ac:dyDescent="0.25">
      <c r="A273" s="20"/>
      <c r="B273" s="199"/>
      <c r="C273" s="148">
        <v>0</v>
      </c>
      <c r="D273" s="104">
        <v>2020</v>
      </c>
      <c r="E273" s="102">
        <f t="shared" si="30"/>
        <v>0</v>
      </c>
      <c r="F273" s="120">
        <v>0</v>
      </c>
      <c r="G273" s="102">
        <v>0</v>
      </c>
      <c r="H273" s="102">
        <v>0</v>
      </c>
      <c r="I273" s="102">
        <v>0</v>
      </c>
      <c r="J273" s="102">
        <v>0</v>
      </c>
      <c r="K273" s="181"/>
      <c r="L273" s="181"/>
      <c r="M273" s="57"/>
    </row>
    <row r="274" spans="1:13" ht="20.45" customHeight="1" x14ac:dyDescent="0.25">
      <c r="A274" s="20"/>
      <c r="B274" s="199"/>
      <c r="C274" s="151">
        <v>0</v>
      </c>
      <c r="D274" s="104">
        <v>2021</v>
      </c>
      <c r="E274" s="102">
        <f t="shared" si="30"/>
        <v>0</v>
      </c>
      <c r="F274" s="120">
        <v>0</v>
      </c>
      <c r="G274" s="102">
        <v>0</v>
      </c>
      <c r="H274" s="102">
        <v>0</v>
      </c>
      <c r="I274" s="102">
        <v>0</v>
      </c>
      <c r="J274" s="102">
        <v>0</v>
      </c>
      <c r="K274" s="181"/>
      <c r="L274" s="181"/>
      <c r="M274" s="57"/>
    </row>
    <row r="275" spans="1:13" ht="20.45" customHeight="1" x14ac:dyDescent="0.25">
      <c r="A275" s="20"/>
      <c r="B275" s="199"/>
      <c r="C275" s="151">
        <v>0</v>
      </c>
      <c r="D275" s="104">
        <v>2022</v>
      </c>
      <c r="E275" s="102">
        <f t="shared" si="30"/>
        <v>0</v>
      </c>
      <c r="F275" s="120">
        <v>0</v>
      </c>
      <c r="G275" s="102">
        <v>0</v>
      </c>
      <c r="H275" s="102">
        <v>0</v>
      </c>
      <c r="I275" s="102">
        <v>0</v>
      </c>
      <c r="J275" s="102">
        <v>0</v>
      </c>
      <c r="K275" s="181"/>
      <c r="L275" s="181"/>
      <c r="M275" s="57"/>
    </row>
    <row r="276" spans="1:13" ht="20.45" customHeight="1" x14ac:dyDescent="0.25">
      <c r="A276" s="20"/>
      <c r="B276" s="199"/>
      <c r="C276" s="151">
        <v>0</v>
      </c>
      <c r="D276" s="104">
        <v>2023</v>
      </c>
      <c r="E276" s="102">
        <f t="shared" si="30"/>
        <v>3531</v>
      </c>
      <c r="F276" s="120">
        <v>0</v>
      </c>
      <c r="G276" s="102">
        <v>0</v>
      </c>
      <c r="H276" s="102">
        <v>3531</v>
      </c>
      <c r="I276" s="102">
        <v>0</v>
      </c>
      <c r="J276" s="102">
        <v>0</v>
      </c>
      <c r="K276" s="181"/>
      <c r="L276" s="181"/>
      <c r="M276" s="57"/>
    </row>
    <row r="277" spans="1:13" ht="20.45" customHeight="1" x14ac:dyDescent="0.25">
      <c r="A277" s="20"/>
      <c r="B277" s="199"/>
      <c r="C277" s="151">
        <v>0</v>
      </c>
      <c r="D277" s="104">
        <v>2024</v>
      </c>
      <c r="E277" s="102">
        <v>0</v>
      </c>
      <c r="F277" s="120">
        <v>0</v>
      </c>
      <c r="G277" s="102">
        <v>0</v>
      </c>
      <c r="H277" s="102">
        <v>0</v>
      </c>
      <c r="I277" s="102">
        <v>0</v>
      </c>
      <c r="J277" s="102">
        <v>0</v>
      </c>
      <c r="K277" s="181"/>
      <c r="L277" s="181"/>
      <c r="M277" s="57"/>
    </row>
    <row r="278" spans="1:13" ht="20.45" customHeight="1" x14ac:dyDescent="0.25">
      <c r="A278" s="20"/>
      <c r="B278" s="199"/>
      <c r="C278" s="151">
        <v>0</v>
      </c>
      <c r="D278" s="104">
        <v>2025</v>
      </c>
      <c r="E278" s="102">
        <f t="shared" ref="E278:E284" si="31">F278+G278+H278+J278</f>
        <v>0</v>
      </c>
      <c r="F278" s="120">
        <v>0</v>
      </c>
      <c r="G278" s="102">
        <v>0</v>
      </c>
      <c r="H278" s="102">
        <v>0</v>
      </c>
      <c r="I278" s="102">
        <v>0</v>
      </c>
      <c r="J278" s="102">
        <v>0</v>
      </c>
      <c r="K278" s="181"/>
      <c r="L278" s="181"/>
      <c r="M278" s="57"/>
    </row>
    <row r="279" spans="1:13" ht="20.45" customHeight="1" x14ac:dyDescent="0.25">
      <c r="A279" s="20"/>
      <c r="B279" s="199"/>
      <c r="C279" s="151"/>
      <c r="D279" s="104">
        <v>2026</v>
      </c>
      <c r="E279" s="102">
        <f t="shared" si="31"/>
        <v>0</v>
      </c>
      <c r="F279" s="120">
        <v>0</v>
      </c>
      <c r="G279" s="102">
        <v>0</v>
      </c>
      <c r="H279" s="102">
        <v>0</v>
      </c>
      <c r="I279" s="102">
        <v>0</v>
      </c>
      <c r="J279" s="102">
        <v>0</v>
      </c>
      <c r="K279" s="181"/>
      <c r="L279" s="181"/>
      <c r="M279" s="57"/>
    </row>
    <row r="280" spans="1:13" ht="20.45" customHeight="1" x14ac:dyDescent="0.25">
      <c r="A280" s="20"/>
      <c r="B280" s="199"/>
      <c r="C280" s="151"/>
      <c r="D280" s="104">
        <v>2027</v>
      </c>
      <c r="E280" s="102">
        <f t="shared" si="31"/>
        <v>0</v>
      </c>
      <c r="F280" s="120">
        <v>0</v>
      </c>
      <c r="G280" s="102">
        <v>0</v>
      </c>
      <c r="H280" s="102">
        <v>0</v>
      </c>
      <c r="I280" s="102">
        <v>0</v>
      </c>
      <c r="J280" s="102">
        <v>0</v>
      </c>
      <c r="K280" s="181"/>
      <c r="L280" s="181"/>
      <c r="M280" s="57"/>
    </row>
    <row r="281" spans="1:13" ht="20.45" customHeight="1" x14ac:dyDescent="0.25">
      <c r="A281" s="20"/>
      <c r="B281" s="213" t="s">
        <v>326</v>
      </c>
      <c r="C281" s="151"/>
      <c r="D281" s="104">
        <v>2024</v>
      </c>
      <c r="E281" s="102">
        <f t="shared" si="31"/>
        <v>9737.5999999999985</v>
      </c>
      <c r="F281" s="120">
        <v>0</v>
      </c>
      <c r="G281" s="102">
        <v>0</v>
      </c>
      <c r="H281" s="121">
        <f>7944.6+959.3+1703.8-870.1</f>
        <v>9737.5999999999985</v>
      </c>
      <c r="I281" s="102">
        <v>0</v>
      </c>
      <c r="J281" s="102">
        <v>0</v>
      </c>
      <c r="K281" s="181"/>
      <c r="L281" s="181"/>
      <c r="M281" s="57"/>
    </row>
    <row r="282" spans="1:13" ht="20.45" customHeight="1" x14ac:dyDescent="0.25">
      <c r="A282" s="20"/>
      <c r="B282" s="180"/>
      <c r="C282" s="151"/>
      <c r="D282" s="104">
        <v>2025</v>
      </c>
      <c r="E282" s="102">
        <f t="shared" si="31"/>
        <v>10185.6</v>
      </c>
      <c r="F282" s="120">
        <v>0</v>
      </c>
      <c r="G282" s="102">
        <v>0</v>
      </c>
      <c r="H282" s="121">
        <v>10185.6</v>
      </c>
      <c r="I282" s="102">
        <v>0</v>
      </c>
      <c r="J282" s="102">
        <v>0</v>
      </c>
      <c r="K282" s="181"/>
      <c r="L282" s="181"/>
      <c r="M282" s="57"/>
    </row>
    <row r="283" spans="1:13" ht="20.45" customHeight="1" x14ac:dyDescent="0.25">
      <c r="A283" s="20"/>
      <c r="B283" s="180"/>
      <c r="C283" s="151"/>
      <c r="D283" s="104">
        <v>2026</v>
      </c>
      <c r="E283" s="102">
        <f t="shared" si="31"/>
        <v>10136.5</v>
      </c>
      <c r="F283" s="120">
        <v>0</v>
      </c>
      <c r="G283" s="102">
        <v>0</v>
      </c>
      <c r="H283" s="121">
        <v>10136.5</v>
      </c>
      <c r="I283" s="102">
        <v>0</v>
      </c>
      <c r="J283" s="102">
        <v>0</v>
      </c>
      <c r="K283" s="181"/>
      <c r="L283" s="181"/>
      <c r="M283" s="57"/>
    </row>
    <row r="284" spans="1:13" ht="20.45" customHeight="1" x14ac:dyDescent="0.25">
      <c r="A284" s="20"/>
      <c r="B284" s="219"/>
      <c r="C284" s="151"/>
      <c r="D284" s="224">
        <v>2027</v>
      </c>
      <c r="E284" s="102">
        <f t="shared" si="31"/>
        <v>10136.5</v>
      </c>
      <c r="F284" s="120">
        <v>0</v>
      </c>
      <c r="G284" s="102">
        <v>0</v>
      </c>
      <c r="H284" s="121">
        <v>10136.5</v>
      </c>
      <c r="I284" s="102">
        <v>0</v>
      </c>
      <c r="J284" s="102">
        <v>0</v>
      </c>
      <c r="K284" s="181"/>
      <c r="L284" s="181"/>
      <c r="M284" s="57"/>
    </row>
    <row r="285" spans="1:13" ht="20.45" customHeight="1" x14ac:dyDescent="0.25">
      <c r="A285" s="20"/>
      <c r="B285" s="199" t="s">
        <v>194</v>
      </c>
      <c r="C285" s="148">
        <v>0</v>
      </c>
      <c r="D285" s="101">
        <v>2018</v>
      </c>
      <c r="E285" s="102">
        <f t="shared" si="29"/>
        <v>0</v>
      </c>
      <c r="F285" s="102">
        <v>0</v>
      </c>
      <c r="G285" s="102">
        <v>0</v>
      </c>
      <c r="H285" s="102">
        <v>0</v>
      </c>
      <c r="I285" s="102">
        <v>0</v>
      </c>
      <c r="J285" s="102">
        <v>0</v>
      </c>
      <c r="K285" s="181"/>
      <c r="L285" s="181"/>
      <c r="M285" s="57"/>
    </row>
    <row r="286" spans="1:13" ht="20.45" customHeight="1" x14ac:dyDescent="0.25">
      <c r="A286" s="20"/>
      <c r="B286" s="199"/>
      <c r="C286" s="148">
        <v>0</v>
      </c>
      <c r="D286" s="101">
        <v>2019</v>
      </c>
      <c r="E286" s="102">
        <f t="shared" si="29"/>
        <v>0</v>
      </c>
      <c r="F286" s="102">
        <v>0</v>
      </c>
      <c r="G286" s="102">
        <v>0</v>
      </c>
      <c r="H286" s="102">
        <v>0</v>
      </c>
      <c r="I286" s="102">
        <v>0</v>
      </c>
      <c r="J286" s="102">
        <v>0</v>
      </c>
      <c r="K286" s="181"/>
      <c r="L286" s="181"/>
      <c r="M286" s="57"/>
    </row>
    <row r="287" spans="1:13" ht="20.45" customHeight="1" x14ac:dyDescent="0.25">
      <c r="A287" s="20"/>
      <c r="B287" s="199"/>
      <c r="C287" s="148">
        <v>0</v>
      </c>
      <c r="D287" s="104">
        <v>2020</v>
      </c>
      <c r="E287" s="102">
        <f t="shared" si="29"/>
        <v>0</v>
      </c>
      <c r="F287" s="102">
        <v>0</v>
      </c>
      <c r="G287" s="102">
        <v>0</v>
      </c>
      <c r="H287" s="102">
        <v>0</v>
      </c>
      <c r="I287" s="102">
        <v>0</v>
      </c>
      <c r="J287" s="102">
        <v>0</v>
      </c>
      <c r="K287" s="181"/>
      <c r="L287" s="181"/>
      <c r="M287" s="57"/>
    </row>
    <row r="288" spans="1:13" ht="20.45" customHeight="1" x14ac:dyDescent="0.25">
      <c r="A288" s="20"/>
      <c r="B288" s="199"/>
      <c r="C288" s="151">
        <v>0</v>
      </c>
      <c r="D288" s="104">
        <v>2021</v>
      </c>
      <c r="E288" s="102">
        <f t="shared" si="29"/>
        <v>0</v>
      </c>
      <c r="F288" s="102">
        <v>0</v>
      </c>
      <c r="G288" s="102">
        <v>0</v>
      </c>
      <c r="H288" s="102">
        <v>0</v>
      </c>
      <c r="I288" s="102">
        <v>0</v>
      </c>
      <c r="J288" s="102">
        <v>0</v>
      </c>
      <c r="K288" s="181"/>
      <c r="L288" s="181"/>
      <c r="M288" s="57"/>
    </row>
    <row r="289" spans="1:13" ht="20.45" customHeight="1" x14ac:dyDescent="0.25">
      <c r="A289" s="20"/>
      <c r="B289" s="199"/>
      <c r="C289" s="151">
        <v>0</v>
      </c>
      <c r="D289" s="104">
        <v>2022</v>
      </c>
      <c r="E289" s="102">
        <f t="shared" si="29"/>
        <v>67.099999999999994</v>
      </c>
      <c r="F289" s="102">
        <v>0</v>
      </c>
      <c r="G289" s="102">
        <v>0</v>
      </c>
      <c r="H289" s="102">
        <v>67.099999999999994</v>
      </c>
      <c r="I289" s="102">
        <v>0</v>
      </c>
      <c r="J289" s="102">
        <v>0</v>
      </c>
      <c r="K289" s="181"/>
      <c r="L289" s="181"/>
      <c r="M289" s="57"/>
    </row>
    <row r="290" spans="1:13" ht="20.45" customHeight="1" x14ac:dyDescent="0.25">
      <c r="A290" s="20"/>
      <c r="B290" s="199"/>
      <c r="C290" s="151">
        <v>0</v>
      </c>
      <c r="D290" s="104">
        <v>2023</v>
      </c>
      <c r="E290" s="102">
        <f t="shared" si="29"/>
        <v>150</v>
      </c>
      <c r="F290" s="102">
        <v>0</v>
      </c>
      <c r="G290" s="102">
        <v>0</v>
      </c>
      <c r="H290" s="102">
        <v>150</v>
      </c>
      <c r="I290" s="102">
        <v>0</v>
      </c>
      <c r="J290" s="102">
        <v>0</v>
      </c>
      <c r="K290" s="181"/>
      <c r="L290" s="181"/>
      <c r="M290" s="57"/>
    </row>
    <row r="291" spans="1:13" ht="20.45" customHeight="1" x14ac:dyDescent="0.25">
      <c r="A291" s="20"/>
      <c r="B291" s="199"/>
      <c r="C291" s="151">
        <v>0</v>
      </c>
      <c r="D291" s="104">
        <v>2024</v>
      </c>
      <c r="E291" s="102">
        <f t="shared" si="29"/>
        <v>630.1</v>
      </c>
      <c r="F291" s="102">
        <v>0</v>
      </c>
      <c r="G291" s="102">
        <v>0</v>
      </c>
      <c r="H291" s="121">
        <f>299+80+401.1-150</f>
        <v>630.1</v>
      </c>
      <c r="I291" s="102">
        <v>0</v>
      </c>
      <c r="J291" s="102">
        <v>0</v>
      </c>
      <c r="K291" s="181"/>
      <c r="L291" s="181"/>
      <c r="M291" s="57"/>
    </row>
    <row r="292" spans="1:13" ht="20.45" customHeight="1" x14ac:dyDescent="0.25">
      <c r="A292" s="20"/>
      <c r="B292" s="199"/>
      <c r="C292" s="151">
        <v>0</v>
      </c>
      <c r="D292" s="104">
        <v>2025</v>
      </c>
      <c r="E292" s="102">
        <f t="shared" si="29"/>
        <v>0</v>
      </c>
      <c r="F292" s="102">
        <v>0</v>
      </c>
      <c r="G292" s="102">
        <v>0</v>
      </c>
      <c r="H292" s="121">
        <v>0</v>
      </c>
      <c r="I292" s="102">
        <v>0</v>
      </c>
      <c r="J292" s="102">
        <v>0</v>
      </c>
      <c r="K292" s="181"/>
      <c r="L292" s="181"/>
      <c r="M292" s="57"/>
    </row>
    <row r="293" spans="1:13" ht="20.45" customHeight="1" x14ac:dyDescent="0.25">
      <c r="A293" s="20"/>
      <c r="B293" s="199"/>
      <c r="C293" s="151"/>
      <c r="D293" s="104">
        <v>2026</v>
      </c>
      <c r="E293" s="102">
        <f t="shared" ref="E293" si="32">F293+G293+H293+J293</f>
        <v>0</v>
      </c>
      <c r="F293" s="102">
        <v>0</v>
      </c>
      <c r="G293" s="102">
        <v>0</v>
      </c>
      <c r="H293" s="121">
        <v>0</v>
      </c>
      <c r="I293" s="102">
        <v>0</v>
      </c>
      <c r="J293" s="102">
        <v>0</v>
      </c>
      <c r="K293" s="181"/>
      <c r="L293" s="181"/>
      <c r="M293" s="57"/>
    </row>
    <row r="294" spans="1:13" ht="20.45" customHeight="1" x14ac:dyDescent="0.25">
      <c r="A294" s="20"/>
      <c r="B294" s="199"/>
      <c r="C294" s="151"/>
      <c r="D294" s="104">
        <v>2027</v>
      </c>
      <c r="E294" s="102">
        <f t="shared" si="29"/>
        <v>0</v>
      </c>
      <c r="F294" s="102">
        <v>0</v>
      </c>
      <c r="G294" s="102">
        <v>0</v>
      </c>
      <c r="H294" s="121">
        <v>0</v>
      </c>
      <c r="I294" s="102">
        <v>0</v>
      </c>
      <c r="J294" s="102">
        <v>0</v>
      </c>
      <c r="K294" s="181"/>
      <c r="L294" s="181"/>
      <c r="M294" s="57"/>
    </row>
    <row r="295" spans="1:13" ht="20.45" customHeight="1" x14ac:dyDescent="0.25">
      <c r="A295" s="20"/>
      <c r="B295" s="199" t="s">
        <v>205</v>
      </c>
      <c r="C295" s="148">
        <v>0</v>
      </c>
      <c r="D295" s="101">
        <v>2018</v>
      </c>
      <c r="E295" s="102">
        <f t="shared" si="29"/>
        <v>0</v>
      </c>
      <c r="F295" s="102">
        <v>0</v>
      </c>
      <c r="G295" s="102">
        <v>0</v>
      </c>
      <c r="H295" s="102">
        <v>0</v>
      </c>
      <c r="I295" s="102">
        <v>0</v>
      </c>
      <c r="J295" s="102">
        <v>0</v>
      </c>
      <c r="K295" s="181"/>
      <c r="L295" s="181"/>
      <c r="M295" s="57"/>
    </row>
    <row r="296" spans="1:13" ht="20.45" customHeight="1" x14ac:dyDescent="0.25">
      <c r="A296" s="20"/>
      <c r="B296" s="199"/>
      <c r="C296" s="148">
        <v>0</v>
      </c>
      <c r="D296" s="101">
        <v>2019</v>
      </c>
      <c r="E296" s="102">
        <f t="shared" si="29"/>
        <v>0</v>
      </c>
      <c r="F296" s="102">
        <v>0</v>
      </c>
      <c r="G296" s="102">
        <v>0</v>
      </c>
      <c r="H296" s="102">
        <v>0</v>
      </c>
      <c r="I296" s="102">
        <v>0</v>
      </c>
      <c r="J296" s="102">
        <v>0</v>
      </c>
      <c r="K296" s="181"/>
      <c r="L296" s="181"/>
      <c r="M296" s="57"/>
    </row>
    <row r="297" spans="1:13" ht="20.45" customHeight="1" x14ac:dyDescent="0.25">
      <c r="A297" s="20"/>
      <c r="B297" s="199"/>
      <c r="C297" s="148">
        <v>0</v>
      </c>
      <c r="D297" s="104">
        <v>2020</v>
      </c>
      <c r="E297" s="102">
        <f t="shared" si="29"/>
        <v>0</v>
      </c>
      <c r="F297" s="120">
        <v>0</v>
      </c>
      <c r="G297" s="102">
        <v>0</v>
      </c>
      <c r="H297" s="102">
        <v>0</v>
      </c>
      <c r="I297" s="102">
        <v>0</v>
      </c>
      <c r="J297" s="102">
        <v>0</v>
      </c>
      <c r="K297" s="181"/>
      <c r="L297" s="181"/>
      <c r="M297" s="57"/>
    </row>
    <row r="298" spans="1:13" ht="20.45" customHeight="1" x14ac:dyDescent="0.25">
      <c r="A298" s="20"/>
      <c r="B298" s="199"/>
      <c r="C298" s="151">
        <v>0</v>
      </c>
      <c r="D298" s="104">
        <v>2021</v>
      </c>
      <c r="E298" s="102">
        <f t="shared" si="29"/>
        <v>3187.5</v>
      </c>
      <c r="F298" s="120">
        <v>0</v>
      </c>
      <c r="G298" s="102">
        <v>0</v>
      </c>
      <c r="H298" s="102">
        <v>3187.5</v>
      </c>
      <c r="I298" s="102">
        <v>0</v>
      </c>
      <c r="J298" s="102">
        <v>0</v>
      </c>
      <c r="K298" s="181"/>
      <c r="L298" s="181"/>
      <c r="M298" s="57"/>
    </row>
    <row r="299" spans="1:13" ht="20.45" customHeight="1" x14ac:dyDescent="0.25">
      <c r="A299" s="20"/>
      <c r="B299" s="199"/>
      <c r="C299" s="151">
        <v>0</v>
      </c>
      <c r="D299" s="104">
        <v>2022</v>
      </c>
      <c r="E299" s="102">
        <f t="shared" si="29"/>
        <v>0</v>
      </c>
      <c r="F299" s="120">
        <v>0</v>
      </c>
      <c r="G299" s="102">
        <v>0</v>
      </c>
      <c r="H299" s="102">
        <v>0</v>
      </c>
      <c r="I299" s="102">
        <v>0</v>
      </c>
      <c r="J299" s="102">
        <v>0</v>
      </c>
      <c r="K299" s="181"/>
      <c r="L299" s="181"/>
      <c r="M299" s="57"/>
    </row>
    <row r="300" spans="1:13" ht="20.45" customHeight="1" x14ac:dyDescent="0.25">
      <c r="A300" s="20"/>
      <c r="B300" s="199"/>
      <c r="C300" s="151">
        <v>0</v>
      </c>
      <c r="D300" s="104">
        <v>2023</v>
      </c>
      <c r="E300" s="102">
        <f t="shared" si="29"/>
        <v>0</v>
      </c>
      <c r="F300" s="120">
        <v>0</v>
      </c>
      <c r="G300" s="102">
        <v>0</v>
      </c>
      <c r="H300" s="102">
        <v>0</v>
      </c>
      <c r="I300" s="102">
        <v>0</v>
      </c>
      <c r="J300" s="102">
        <v>0</v>
      </c>
      <c r="K300" s="181"/>
      <c r="L300" s="181"/>
      <c r="M300" s="57"/>
    </row>
    <row r="301" spans="1:13" ht="20.45" customHeight="1" x14ac:dyDescent="0.25">
      <c r="A301" s="20"/>
      <c r="B301" s="199"/>
      <c r="C301" s="151">
        <v>0</v>
      </c>
      <c r="D301" s="104">
        <v>2024</v>
      </c>
      <c r="E301" s="102">
        <f t="shared" si="29"/>
        <v>0</v>
      </c>
      <c r="F301" s="120">
        <v>0</v>
      </c>
      <c r="G301" s="102">
        <v>0</v>
      </c>
      <c r="H301" s="102">
        <v>0</v>
      </c>
      <c r="I301" s="102">
        <v>0</v>
      </c>
      <c r="J301" s="102">
        <v>0</v>
      </c>
      <c r="K301" s="181"/>
      <c r="L301" s="181"/>
      <c r="M301" s="57"/>
    </row>
    <row r="302" spans="1:13" ht="20.45" customHeight="1" x14ac:dyDescent="0.25">
      <c r="A302" s="20"/>
      <c r="B302" s="199"/>
      <c r="C302" s="151">
        <v>0</v>
      </c>
      <c r="D302" s="104">
        <v>2025</v>
      </c>
      <c r="E302" s="102">
        <f t="shared" si="29"/>
        <v>0</v>
      </c>
      <c r="F302" s="120">
        <v>0</v>
      </c>
      <c r="G302" s="102">
        <v>0</v>
      </c>
      <c r="H302" s="102">
        <v>0</v>
      </c>
      <c r="I302" s="102">
        <v>0</v>
      </c>
      <c r="J302" s="102">
        <v>0</v>
      </c>
      <c r="K302" s="181"/>
      <c r="L302" s="181"/>
      <c r="M302" s="57"/>
    </row>
    <row r="303" spans="1:13" ht="20.45" customHeight="1" x14ac:dyDescent="0.25">
      <c r="A303" s="20"/>
      <c r="B303" s="199"/>
      <c r="C303" s="151"/>
      <c r="D303" s="104">
        <v>2026</v>
      </c>
      <c r="E303" s="102">
        <f t="shared" ref="E303" si="33">F303+G303+H303+J303</f>
        <v>0</v>
      </c>
      <c r="F303" s="120">
        <v>0</v>
      </c>
      <c r="G303" s="102">
        <v>0</v>
      </c>
      <c r="H303" s="102">
        <v>0</v>
      </c>
      <c r="I303" s="102">
        <v>0</v>
      </c>
      <c r="J303" s="102">
        <v>0</v>
      </c>
      <c r="K303" s="181"/>
      <c r="L303" s="181"/>
      <c r="M303" s="57"/>
    </row>
    <row r="304" spans="1:13" ht="20.45" customHeight="1" x14ac:dyDescent="0.25">
      <c r="A304" s="20"/>
      <c r="B304" s="199"/>
      <c r="C304" s="151"/>
      <c r="D304" s="104">
        <v>2027</v>
      </c>
      <c r="E304" s="102">
        <f t="shared" si="29"/>
        <v>0</v>
      </c>
      <c r="F304" s="120">
        <v>0</v>
      </c>
      <c r="G304" s="102">
        <v>0</v>
      </c>
      <c r="H304" s="102">
        <v>0</v>
      </c>
      <c r="I304" s="102">
        <v>0</v>
      </c>
      <c r="J304" s="102">
        <v>0</v>
      </c>
      <c r="K304" s="181"/>
      <c r="L304" s="181"/>
      <c r="M304" s="57"/>
    </row>
    <row r="305" spans="1:13" ht="20.45" customHeight="1" x14ac:dyDescent="0.25">
      <c r="A305" s="20"/>
      <c r="B305" s="99" t="s">
        <v>206</v>
      </c>
      <c r="C305" s="148">
        <v>0</v>
      </c>
      <c r="D305" s="101">
        <v>2018</v>
      </c>
      <c r="E305" s="102">
        <f t="shared" si="29"/>
        <v>0</v>
      </c>
      <c r="F305" s="102">
        <v>0</v>
      </c>
      <c r="G305" s="102">
        <v>0</v>
      </c>
      <c r="H305" s="102">
        <v>0</v>
      </c>
      <c r="I305" s="102">
        <v>0</v>
      </c>
      <c r="J305" s="102">
        <v>0</v>
      </c>
      <c r="K305" s="181"/>
      <c r="L305" s="181"/>
      <c r="M305" s="57"/>
    </row>
    <row r="306" spans="1:13" ht="20.45" customHeight="1" x14ac:dyDescent="0.25">
      <c r="A306" s="20"/>
      <c r="B306" s="99"/>
      <c r="C306" s="148">
        <v>0</v>
      </c>
      <c r="D306" s="101">
        <v>2019</v>
      </c>
      <c r="E306" s="102">
        <f t="shared" si="29"/>
        <v>0</v>
      </c>
      <c r="F306" s="102">
        <v>0</v>
      </c>
      <c r="G306" s="102">
        <v>0</v>
      </c>
      <c r="H306" s="102">
        <v>0</v>
      </c>
      <c r="I306" s="102">
        <v>0</v>
      </c>
      <c r="J306" s="102">
        <v>0</v>
      </c>
      <c r="K306" s="181"/>
      <c r="L306" s="181"/>
      <c r="M306" s="57"/>
    </row>
    <row r="307" spans="1:13" ht="20.45" customHeight="1" x14ac:dyDescent="0.25">
      <c r="A307" s="20"/>
      <c r="B307" s="99"/>
      <c r="C307" s="148">
        <v>0</v>
      </c>
      <c r="D307" s="104">
        <v>2020</v>
      </c>
      <c r="E307" s="102">
        <f t="shared" si="29"/>
        <v>0</v>
      </c>
      <c r="F307" s="120">
        <v>0</v>
      </c>
      <c r="G307" s="102">
        <v>0</v>
      </c>
      <c r="H307" s="102">
        <v>0</v>
      </c>
      <c r="I307" s="102">
        <v>0</v>
      </c>
      <c r="J307" s="102">
        <v>0</v>
      </c>
      <c r="K307" s="181"/>
      <c r="L307" s="181"/>
      <c r="M307" s="57"/>
    </row>
    <row r="308" spans="1:13" ht="20.45" customHeight="1" x14ac:dyDescent="0.25">
      <c r="A308" s="20"/>
      <c r="B308" s="99"/>
      <c r="C308" s="151">
        <v>0</v>
      </c>
      <c r="D308" s="104">
        <v>2021</v>
      </c>
      <c r="E308" s="102">
        <f t="shared" si="29"/>
        <v>2687.3</v>
      </c>
      <c r="F308" s="120">
        <v>0</v>
      </c>
      <c r="G308" s="102">
        <v>0</v>
      </c>
      <c r="H308" s="102">
        <v>2687.3</v>
      </c>
      <c r="I308" s="102">
        <v>0</v>
      </c>
      <c r="J308" s="102">
        <v>0</v>
      </c>
      <c r="K308" s="181"/>
      <c r="L308" s="181"/>
      <c r="M308" s="57"/>
    </row>
    <row r="309" spans="1:13" ht="20.45" customHeight="1" x14ac:dyDescent="0.25">
      <c r="A309" s="20"/>
      <c r="B309" s="99"/>
      <c r="C309" s="151">
        <v>0</v>
      </c>
      <c r="D309" s="104">
        <v>2022</v>
      </c>
      <c r="E309" s="102">
        <f t="shared" si="29"/>
        <v>1794.8</v>
      </c>
      <c r="F309" s="120">
        <v>0</v>
      </c>
      <c r="G309" s="102">
        <v>0</v>
      </c>
      <c r="H309" s="102">
        <v>1794.8</v>
      </c>
      <c r="I309" s="102">
        <v>0</v>
      </c>
      <c r="J309" s="102">
        <v>0</v>
      </c>
      <c r="K309" s="181"/>
      <c r="L309" s="181"/>
      <c r="M309" s="57"/>
    </row>
    <row r="310" spans="1:13" ht="20.45" customHeight="1" x14ac:dyDescent="0.25">
      <c r="A310" s="20"/>
      <c r="B310" s="99"/>
      <c r="C310" s="151">
        <v>0</v>
      </c>
      <c r="D310" s="104">
        <v>2023</v>
      </c>
      <c r="E310" s="102">
        <f t="shared" si="29"/>
        <v>1794.8</v>
      </c>
      <c r="F310" s="120">
        <v>0</v>
      </c>
      <c r="G310" s="102">
        <v>0</v>
      </c>
      <c r="H310" s="102">
        <v>1794.8</v>
      </c>
      <c r="I310" s="102">
        <v>0</v>
      </c>
      <c r="J310" s="102">
        <v>0</v>
      </c>
      <c r="K310" s="181"/>
      <c r="L310" s="181"/>
      <c r="M310" s="57"/>
    </row>
    <row r="311" spans="1:13" ht="20.45" customHeight="1" x14ac:dyDescent="0.25">
      <c r="A311" s="20"/>
      <c r="B311" s="99"/>
      <c r="C311" s="151">
        <v>0</v>
      </c>
      <c r="D311" s="104">
        <v>2024</v>
      </c>
      <c r="E311" s="102">
        <f t="shared" si="29"/>
        <v>2456</v>
      </c>
      <c r="F311" s="120">
        <v>0</v>
      </c>
      <c r="G311" s="102">
        <v>0</v>
      </c>
      <c r="H311" s="121">
        <f>1866.6+589.4</f>
        <v>2456</v>
      </c>
      <c r="I311" s="102">
        <v>0</v>
      </c>
      <c r="J311" s="102">
        <v>0</v>
      </c>
      <c r="K311" s="181"/>
      <c r="L311" s="181"/>
      <c r="M311" s="57"/>
    </row>
    <row r="312" spans="1:13" ht="20.45" customHeight="1" x14ac:dyDescent="0.25">
      <c r="A312" s="20"/>
      <c r="B312" s="99"/>
      <c r="C312" s="151">
        <v>0</v>
      </c>
      <c r="D312" s="104">
        <v>2025</v>
      </c>
      <c r="E312" s="102">
        <f t="shared" si="29"/>
        <v>3764.4</v>
      </c>
      <c r="F312" s="120">
        <v>0</v>
      </c>
      <c r="G312" s="102">
        <v>0</v>
      </c>
      <c r="H312" s="121">
        <v>3764.4</v>
      </c>
      <c r="I312" s="102">
        <v>0</v>
      </c>
      <c r="J312" s="102">
        <v>0</v>
      </c>
      <c r="K312" s="181"/>
      <c r="L312" s="181"/>
      <c r="M312" s="57"/>
    </row>
    <row r="313" spans="1:13" ht="20.45" customHeight="1" x14ac:dyDescent="0.25">
      <c r="A313" s="20"/>
      <c r="B313" s="99"/>
      <c r="C313" s="151"/>
      <c r="D313" s="104">
        <v>2026</v>
      </c>
      <c r="E313" s="102">
        <f t="shared" ref="E313" si="34">F313+G313+H313+J313</f>
        <v>3764.4</v>
      </c>
      <c r="F313" s="120">
        <v>0</v>
      </c>
      <c r="G313" s="102">
        <v>0</v>
      </c>
      <c r="H313" s="121">
        <v>3764.4</v>
      </c>
      <c r="I313" s="102">
        <v>0</v>
      </c>
      <c r="J313" s="102">
        <v>0</v>
      </c>
      <c r="K313" s="181"/>
      <c r="L313" s="181"/>
      <c r="M313" s="57"/>
    </row>
    <row r="314" spans="1:13" ht="20.45" customHeight="1" x14ac:dyDescent="0.25">
      <c r="A314" s="20"/>
      <c r="B314" s="99"/>
      <c r="C314" s="151"/>
      <c r="D314" s="104">
        <v>2027</v>
      </c>
      <c r="E314" s="102">
        <f t="shared" si="29"/>
        <v>3764.4</v>
      </c>
      <c r="F314" s="120">
        <v>0</v>
      </c>
      <c r="G314" s="102">
        <v>0</v>
      </c>
      <c r="H314" s="121">
        <v>3764.4</v>
      </c>
      <c r="I314" s="102">
        <v>0</v>
      </c>
      <c r="J314" s="102">
        <v>0</v>
      </c>
      <c r="K314" s="119"/>
      <c r="L314" s="119"/>
      <c r="M314" s="57"/>
    </row>
    <row r="315" spans="1:13" ht="23.1" customHeight="1" x14ac:dyDescent="0.25">
      <c r="A315" s="20"/>
      <c r="B315" s="199" t="s">
        <v>301</v>
      </c>
      <c r="C315" s="148">
        <v>0</v>
      </c>
      <c r="D315" s="101">
        <v>2018</v>
      </c>
      <c r="E315" s="102">
        <f t="shared" si="29"/>
        <v>0</v>
      </c>
      <c r="F315" s="102">
        <v>0</v>
      </c>
      <c r="G315" s="102">
        <v>0</v>
      </c>
      <c r="H315" s="102">
        <v>0</v>
      </c>
      <c r="I315" s="102">
        <v>0</v>
      </c>
      <c r="J315" s="102">
        <v>0</v>
      </c>
      <c r="K315" s="109"/>
      <c r="L315" s="149" t="s">
        <v>60</v>
      </c>
      <c r="M315" s="57"/>
    </row>
    <row r="316" spans="1:13" ht="23.1" customHeight="1" x14ac:dyDescent="0.25">
      <c r="A316" s="20"/>
      <c r="B316" s="199"/>
      <c r="C316" s="148">
        <v>0</v>
      </c>
      <c r="D316" s="101">
        <v>2019</v>
      </c>
      <c r="E316" s="102">
        <f t="shared" si="29"/>
        <v>0</v>
      </c>
      <c r="F316" s="102">
        <v>0</v>
      </c>
      <c r="G316" s="102">
        <v>0</v>
      </c>
      <c r="H316" s="102">
        <v>0</v>
      </c>
      <c r="I316" s="102">
        <v>0</v>
      </c>
      <c r="J316" s="102">
        <v>0</v>
      </c>
      <c r="K316" s="181"/>
      <c r="L316" s="149"/>
      <c r="M316" s="57"/>
    </row>
    <row r="317" spans="1:13" ht="23.1" customHeight="1" x14ac:dyDescent="0.25">
      <c r="A317" s="20"/>
      <c r="B317" s="199"/>
      <c r="C317" s="148">
        <v>0</v>
      </c>
      <c r="D317" s="104">
        <v>2020</v>
      </c>
      <c r="E317" s="102">
        <f t="shared" si="29"/>
        <v>4.8</v>
      </c>
      <c r="F317" s="120">
        <v>0</v>
      </c>
      <c r="G317" s="102">
        <v>0</v>
      </c>
      <c r="H317" s="102">
        <v>4.8</v>
      </c>
      <c r="I317" s="102">
        <v>0</v>
      </c>
      <c r="J317" s="102">
        <v>0</v>
      </c>
      <c r="K317" s="181"/>
      <c r="L317" s="149"/>
      <c r="M317" s="57"/>
    </row>
    <row r="318" spans="1:13" ht="23.1" customHeight="1" x14ac:dyDescent="0.25">
      <c r="A318" s="20"/>
      <c r="B318" s="199"/>
      <c r="C318" s="151">
        <v>0</v>
      </c>
      <c r="D318" s="104">
        <v>2021</v>
      </c>
      <c r="E318" s="102">
        <f t="shared" si="29"/>
        <v>57.6</v>
      </c>
      <c r="F318" s="120">
        <v>0</v>
      </c>
      <c r="G318" s="102">
        <v>0</v>
      </c>
      <c r="H318" s="102">
        <v>57.6</v>
      </c>
      <c r="I318" s="102">
        <v>0</v>
      </c>
      <c r="J318" s="102">
        <v>0</v>
      </c>
      <c r="K318" s="181"/>
      <c r="L318" s="149"/>
      <c r="M318" s="57"/>
    </row>
    <row r="319" spans="1:13" ht="23.1" customHeight="1" x14ac:dyDescent="0.25">
      <c r="A319" s="20"/>
      <c r="B319" s="199"/>
      <c r="C319" s="151">
        <v>0</v>
      </c>
      <c r="D319" s="104">
        <v>2022</v>
      </c>
      <c r="E319" s="102">
        <f t="shared" si="29"/>
        <v>50</v>
      </c>
      <c r="F319" s="120">
        <v>0</v>
      </c>
      <c r="G319" s="102">
        <v>0</v>
      </c>
      <c r="H319" s="102">
        <v>50</v>
      </c>
      <c r="I319" s="102">
        <v>0</v>
      </c>
      <c r="J319" s="102">
        <v>0</v>
      </c>
      <c r="K319" s="181"/>
      <c r="L319" s="149"/>
      <c r="M319" s="57"/>
    </row>
    <row r="320" spans="1:13" ht="23.1" customHeight="1" x14ac:dyDescent="0.25">
      <c r="A320" s="20"/>
      <c r="B320" s="199"/>
      <c r="C320" s="151">
        <v>0</v>
      </c>
      <c r="D320" s="104">
        <v>2023</v>
      </c>
      <c r="E320" s="102">
        <f t="shared" si="29"/>
        <v>920.4</v>
      </c>
      <c r="F320" s="120">
        <v>0</v>
      </c>
      <c r="G320" s="102">
        <v>0</v>
      </c>
      <c r="H320" s="102">
        <f>50+870.4</f>
        <v>920.4</v>
      </c>
      <c r="I320" s="102">
        <v>0</v>
      </c>
      <c r="J320" s="102">
        <v>0</v>
      </c>
      <c r="K320" s="181"/>
      <c r="L320" s="149"/>
      <c r="M320" s="57"/>
    </row>
    <row r="321" spans="1:13" ht="23.1" customHeight="1" x14ac:dyDescent="0.25">
      <c r="A321" s="20"/>
      <c r="B321" s="199"/>
      <c r="C321" s="151">
        <v>0</v>
      </c>
      <c r="D321" s="104">
        <v>2024</v>
      </c>
      <c r="E321" s="102">
        <f t="shared" si="29"/>
        <v>519.29999999999995</v>
      </c>
      <c r="F321" s="120">
        <v>0</v>
      </c>
      <c r="G321" s="102">
        <v>0</v>
      </c>
      <c r="H321" s="121">
        <f>920.4-401.1</f>
        <v>519.29999999999995</v>
      </c>
      <c r="I321" s="102">
        <v>0</v>
      </c>
      <c r="J321" s="102">
        <v>0</v>
      </c>
      <c r="K321" s="181"/>
      <c r="L321" s="149"/>
      <c r="M321" s="57"/>
    </row>
    <row r="322" spans="1:13" ht="23.1" customHeight="1" x14ac:dyDescent="0.25">
      <c r="A322" s="20"/>
      <c r="B322" s="199"/>
      <c r="C322" s="151">
        <v>0</v>
      </c>
      <c r="D322" s="104">
        <v>2025</v>
      </c>
      <c r="E322" s="102">
        <f t="shared" si="29"/>
        <v>544.4</v>
      </c>
      <c r="F322" s="120">
        <v>0</v>
      </c>
      <c r="G322" s="102">
        <v>0</v>
      </c>
      <c r="H322" s="121">
        <v>544.4</v>
      </c>
      <c r="I322" s="102">
        <v>0</v>
      </c>
      <c r="J322" s="102">
        <v>0</v>
      </c>
      <c r="K322" s="181"/>
      <c r="L322" s="149"/>
      <c r="M322" s="57"/>
    </row>
    <row r="323" spans="1:13" ht="23.1" customHeight="1" x14ac:dyDescent="0.25">
      <c r="A323" s="20"/>
      <c r="B323" s="213"/>
      <c r="C323" s="153"/>
      <c r="D323" s="104">
        <v>2026</v>
      </c>
      <c r="E323" s="102">
        <f t="shared" ref="E323" si="35">F323+G323+H323+J323</f>
        <v>541.9</v>
      </c>
      <c r="F323" s="120">
        <v>0</v>
      </c>
      <c r="G323" s="102">
        <v>0</v>
      </c>
      <c r="H323" s="121">
        <v>541.9</v>
      </c>
      <c r="I323" s="102">
        <v>0</v>
      </c>
      <c r="J323" s="102">
        <v>0</v>
      </c>
      <c r="K323" s="181"/>
      <c r="L323" s="156"/>
      <c r="M323" s="57"/>
    </row>
    <row r="324" spans="1:13" ht="23.1" customHeight="1" thickBot="1" x14ac:dyDescent="0.3">
      <c r="A324" s="20"/>
      <c r="B324" s="216"/>
      <c r="C324" s="158"/>
      <c r="D324" s="159">
        <v>2027</v>
      </c>
      <c r="E324" s="113">
        <f t="shared" si="29"/>
        <v>541.9</v>
      </c>
      <c r="F324" s="123">
        <v>0</v>
      </c>
      <c r="G324" s="113">
        <v>0</v>
      </c>
      <c r="H324" s="124">
        <v>541.9</v>
      </c>
      <c r="I324" s="113">
        <v>0</v>
      </c>
      <c r="J324" s="113">
        <v>0</v>
      </c>
      <c r="K324" s="184"/>
      <c r="L324" s="160"/>
      <c r="M324" s="57"/>
    </row>
    <row r="325" spans="1:13" ht="23.1" customHeight="1" x14ac:dyDescent="0.25">
      <c r="A325" s="44" t="s">
        <v>56</v>
      </c>
      <c r="B325" s="208" t="s">
        <v>57</v>
      </c>
      <c r="C325" s="142">
        <v>0</v>
      </c>
      <c r="D325" s="143">
        <v>2018</v>
      </c>
      <c r="E325" s="144">
        <f t="shared" si="29"/>
        <v>946</v>
      </c>
      <c r="F325" s="144">
        <v>0</v>
      </c>
      <c r="G325" s="144">
        <v>946</v>
      </c>
      <c r="H325" s="144">
        <v>0</v>
      </c>
      <c r="I325" s="144">
        <v>0</v>
      </c>
      <c r="J325" s="144">
        <v>0</v>
      </c>
      <c r="K325" s="145" t="s">
        <v>58</v>
      </c>
      <c r="L325" s="146" t="s">
        <v>59</v>
      </c>
      <c r="M325" s="57"/>
    </row>
    <row r="326" spans="1:13" ht="23.1" customHeight="1" x14ac:dyDescent="0.25">
      <c r="A326" s="45"/>
      <c r="B326" s="199"/>
      <c r="C326" s="148">
        <v>0</v>
      </c>
      <c r="D326" s="101">
        <v>2019</v>
      </c>
      <c r="E326" s="102">
        <f t="shared" si="29"/>
        <v>1486.4</v>
      </c>
      <c r="F326" s="102">
        <v>0</v>
      </c>
      <c r="G326" s="102">
        <v>1486.4</v>
      </c>
      <c r="H326" s="102">
        <v>0</v>
      </c>
      <c r="I326" s="102">
        <v>0</v>
      </c>
      <c r="J326" s="102">
        <v>0</v>
      </c>
      <c r="K326" s="103"/>
      <c r="L326" s="149"/>
      <c r="M326" s="57"/>
    </row>
    <row r="327" spans="1:13" ht="23.1" customHeight="1" x14ac:dyDescent="0.25">
      <c r="A327" s="45"/>
      <c r="B327" s="199"/>
      <c r="C327" s="148">
        <v>0</v>
      </c>
      <c r="D327" s="104">
        <v>2020</v>
      </c>
      <c r="E327" s="102">
        <f t="shared" si="29"/>
        <v>0</v>
      </c>
      <c r="F327" s="120">
        <v>0</v>
      </c>
      <c r="G327" s="102">
        <v>0</v>
      </c>
      <c r="H327" s="102">
        <v>0</v>
      </c>
      <c r="I327" s="102">
        <v>0</v>
      </c>
      <c r="J327" s="102">
        <v>0</v>
      </c>
      <c r="K327" s="103"/>
      <c r="L327" s="149"/>
      <c r="M327" s="57"/>
    </row>
    <row r="328" spans="1:13" ht="23.1" customHeight="1" x14ac:dyDescent="0.25">
      <c r="A328" s="45"/>
      <c r="B328" s="199"/>
      <c r="C328" s="151">
        <v>0</v>
      </c>
      <c r="D328" s="104">
        <v>2021</v>
      </c>
      <c r="E328" s="102">
        <f t="shared" si="29"/>
        <v>0</v>
      </c>
      <c r="F328" s="120">
        <v>0</v>
      </c>
      <c r="G328" s="102">
        <v>0</v>
      </c>
      <c r="H328" s="102">
        <v>0</v>
      </c>
      <c r="I328" s="102">
        <v>0</v>
      </c>
      <c r="J328" s="102">
        <v>0</v>
      </c>
      <c r="K328" s="103"/>
      <c r="L328" s="149"/>
      <c r="M328" s="57"/>
    </row>
    <row r="329" spans="1:13" ht="23.1" customHeight="1" x14ac:dyDescent="0.25">
      <c r="A329" s="45"/>
      <c r="B329" s="199"/>
      <c r="C329" s="151">
        <v>0</v>
      </c>
      <c r="D329" s="104">
        <v>2022</v>
      </c>
      <c r="E329" s="102">
        <f t="shared" si="29"/>
        <v>0</v>
      </c>
      <c r="F329" s="120">
        <v>0</v>
      </c>
      <c r="G329" s="102">
        <v>0</v>
      </c>
      <c r="H329" s="102">
        <v>0</v>
      </c>
      <c r="I329" s="102">
        <v>0</v>
      </c>
      <c r="J329" s="102">
        <v>0</v>
      </c>
      <c r="K329" s="103"/>
      <c r="L329" s="149"/>
      <c r="M329" s="57"/>
    </row>
    <row r="330" spans="1:13" ht="23.1" customHeight="1" x14ac:dyDescent="0.25">
      <c r="A330" s="45"/>
      <c r="B330" s="199"/>
      <c r="C330" s="151">
        <v>0</v>
      </c>
      <c r="D330" s="104">
        <v>2023</v>
      </c>
      <c r="E330" s="102">
        <f t="shared" si="29"/>
        <v>0</v>
      </c>
      <c r="F330" s="120">
        <v>0</v>
      </c>
      <c r="G330" s="102">
        <v>0</v>
      </c>
      <c r="H330" s="102">
        <v>0</v>
      </c>
      <c r="I330" s="102">
        <v>0</v>
      </c>
      <c r="J330" s="102">
        <v>0</v>
      </c>
      <c r="K330" s="103"/>
      <c r="L330" s="149"/>
      <c r="M330" s="57"/>
    </row>
    <row r="331" spans="1:13" ht="23.1" customHeight="1" x14ac:dyDescent="0.25">
      <c r="A331" s="45"/>
      <c r="B331" s="199"/>
      <c r="C331" s="151">
        <v>0</v>
      </c>
      <c r="D331" s="104">
        <v>2024</v>
      </c>
      <c r="E331" s="102">
        <f t="shared" si="29"/>
        <v>0</v>
      </c>
      <c r="F331" s="120">
        <v>0</v>
      </c>
      <c r="G331" s="102">
        <v>0</v>
      </c>
      <c r="H331" s="102">
        <v>0</v>
      </c>
      <c r="I331" s="102">
        <v>0</v>
      </c>
      <c r="J331" s="102">
        <v>0</v>
      </c>
      <c r="K331" s="103"/>
      <c r="L331" s="149"/>
      <c r="M331" s="57"/>
    </row>
    <row r="332" spans="1:13" ht="23.1" customHeight="1" x14ac:dyDescent="0.25">
      <c r="A332" s="45"/>
      <c r="B332" s="199"/>
      <c r="C332" s="153">
        <v>0</v>
      </c>
      <c r="D332" s="104">
        <v>2025</v>
      </c>
      <c r="E332" s="102">
        <f t="shared" si="29"/>
        <v>0</v>
      </c>
      <c r="F332" s="120">
        <v>0</v>
      </c>
      <c r="G332" s="102">
        <v>0</v>
      </c>
      <c r="H332" s="102">
        <v>0</v>
      </c>
      <c r="I332" s="102">
        <v>0</v>
      </c>
      <c r="J332" s="102">
        <v>0</v>
      </c>
      <c r="K332" s="103"/>
      <c r="L332" s="149"/>
      <c r="M332" s="57"/>
    </row>
    <row r="333" spans="1:13" ht="23.1" customHeight="1" thickBot="1" x14ac:dyDescent="0.3">
      <c r="A333" s="46"/>
      <c r="B333" s="213"/>
      <c r="C333" s="225"/>
      <c r="D333" s="104">
        <v>2026</v>
      </c>
      <c r="E333" s="102">
        <f t="shared" ref="E333" si="36">F333+G333+H333+J333</f>
        <v>0</v>
      </c>
      <c r="F333" s="120">
        <v>0</v>
      </c>
      <c r="G333" s="102">
        <v>0</v>
      </c>
      <c r="H333" s="102">
        <v>0</v>
      </c>
      <c r="I333" s="102">
        <v>0</v>
      </c>
      <c r="J333" s="102">
        <v>0</v>
      </c>
      <c r="K333" s="109"/>
      <c r="L333" s="156"/>
      <c r="M333" s="57"/>
    </row>
    <row r="334" spans="1:13" s="198" customFormat="1" ht="23.1" customHeight="1" thickBot="1" x14ac:dyDescent="0.3">
      <c r="A334" s="47"/>
      <c r="B334" s="216"/>
      <c r="C334" s="206"/>
      <c r="D334" s="159">
        <v>2027</v>
      </c>
      <c r="E334" s="113">
        <f t="shared" si="29"/>
        <v>0</v>
      </c>
      <c r="F334" s="123">
        <v>0</v>
      </c>
      <c r="G334" s="113">
        <v>0</v>
      </c>
      <c r="H334" s="113">
        <v>0</v>
      </c>
      <c r="I334" s="113">
        <v>0</v>
      </c>
      <c r="J334" s="113">
        <v>0</v>
      </c>
      <c r="K334" s="114"/>
      <c r="L334" s="160"/>
      <c r="M334" s="197"/>
    </row>
    <row r="335" spans="1:13" ht="23.1" customHeight="1" x14ac:dyDescent="0.25">
      <c r="A335" s="48" t="s">
        <v>61</v>
      </c>
      <c r="B335" s="208" t="s">
        <v>62</v>
      </c>
      <c r="C335" s="141" t="e">
        <f>#REF!+#REF!+#REF!+#REF!+#REF!+#REF!+#REF!+#REF!</f>
        <v>#REF!</v>
      </c>
      <c r="D335" s="143">
        <v>2018</v>
      </c>
      <c r="E335" s="144">
        <f t="shared" si="29"/>
        <v>0</v>
      </c>
      <c r="F335" s="144">
        <v>0</v>
      </c>
      <c r="G335" s="144">
        <v>0</v>
      </c>
      <c r="H335" s="144">
        <v>0</v>
      </c>
      <c r="I335" s="144">
        <v>0</v>
      </c>
      <c r="J335" s="144">
        <v>0</v>
      </c>
      <c r="K335" s="145" t="s">
        <v>58</v>
      </c>
      <c r="L335" s="146" t="s">
        <v>59</v>
      </c>
      <c r="M335" s="57"/>
    </row>
    <row r="336" spans="1:13" ht="23.1" customHeight="1" x14ac:dyDescent="0.25">
      <c r="A336" s="45"/>
      <c r="B336" s="199"/>
      <c r="C336" s="99"/>
      <c r="D336" s="101">
        <v>2019</v>
      </c>
      <c r="E336" s="102">
        <f t="shared" si="29"/>
        <v>0</v>
      </c>
      <c r="F336" s="102">
        <v>0</v>
      </c>
      <c r="G336" s="102">
        <v>0</v>
      </c>
      <c r="H336" s="102">
        <v>0</v>
      </c>
      <c r="I336" s="102">
        <v>0</v>
      </c>
      <c r="J336" s="102">
        <v>0</v>
      </c>
      <c r="K336" s="103"/>
      <c r="L336" s="149"/>
      <c r="M336" s="57"/>
    </row>
    <row r="337" spans="1:13" ht="23.1" customHeight="1" x14ac:dyDescent="0.25">
      <c r="A337" s="45"/>
      <c r="B337" s="199"/>
      <c r="C337" s="99"/>
      <c r="D337" s="104">
        <v>2020</v>
      </c>
      <c r="E337" s="102">
        <f t="shared" si="29"/>
        <v>1570</v>
      </c>
      <c r="F337" s="120">
        <v>0</v>
      </c>
      <c r="G337" s="102">
        <v>1570</v>
      </c>
      <c r="H337" s="102">
        <v>0</v>
      </c>
      <c r="I337" s="102">
        <v>0</v>
      </c>
      <c r="J337" s="102">
        <v>0</v>
      </c>
      <c r="K337" s="103"/>
      <c r="L337" s="149"/>
      <c r="M337" s="57"/>
    </row>
    <row r="338" spans="1:13" ht="23.1" customHeight="1" x14ac:dyDescent="0.25">
      <c r="A338" s="45"/>
      <c r="B338" s="199"/>
      <c r="C338" s="99"/>
      <c r="D338" s="104">
        <v>2021</v>
      </c>
      <c r="E338" s="102">
        <f t="shared" si="29"/>
        <v>1527.3</v>
      </c>
      <c r="F338" s="120">
        <v>0</v>
      </c>
      <c r="G338" s="102">
        <v>1527.3</v>
      </c>
      <c r="H338" s="102">
        <v>0</v>
      </c>
      <c r="I338" s="102">
        <v>0</v>
      </c>
      <c r="J338" s="102">
        <v>0</v>
      </c>
      <c r="K338" s="103"/>
      <c r="L338" s="149"/>
      <c r="M338" s="57"/>
    </row>
    <row r="339" spans="1:13" ht="23.1" customHeight="1" x14ac:dyDescent="0.25">
      <c r="A339" s="45"/>
      <c r="B339" s="199"/>
      <c r="C339" s="99"/>
      <c r="D339" s="104">
        <v>2022</v>
      </c>
      <c r="E339" s="102">
        <f t="shared" si="29"/>
        <v>1567.1</v>
      </c>
      <c r="F339" s="120">
        <v>0</v>
      </c>
      <c r="G339" s="102">
        <v>1567.1</v>
      </c>
      <c r="H339" s="102">
        <v>0</v>
      </c>
      <c r="I339" s="102">
        <v>0</v>
      </c>
      <c r="J339" s="102">
        <v>0</v>
      </c>
      <c r="K339" s="103"/>
      <c r="L339" s="149"/>
      <c r="M339" s="57"/>
    </row>
    <row r="340" spans="1:13" ht="23.1" customHeight="1" x14ac:dyDescent="0.25">
      <c r="A340" s="45"/>
      <c r="B340" s="199"/>
      <c r="C340" s="99"/>
      <c r="D340" s="104">
        <v>2023</v>
      </c>
      <c r="E340" s="102">
        <f t="shared" si="29"/>
        <v>1729.2</v>
      </c>
      <c r="F340" s="120">
        <v>0</v>
      </c>
      <c r="G340" s="102">
        <v>1729.2</v>
      </c>
      <c r="H340" s="102">
        <v>0</v>
      </c>
      <c r="I340" s="102">
        <v>0</v>
      </c>
      <c r="J340" s="102">
        <v>0</v>
      </c>
      <c r="K340" s="103"/>
      <c r="L340" s="149"/>
      <c r="M340" s="57"/>
    </row>
    <row r="341" spans="1:13" ht="23.1" customHeight="1" x14ac:dyDescent="0.25">
      <c r="A341" s="45"/>
      <c r="B341" s="199"/>
      <c r="C341" s="99"/>
      <c r="D341" s="104">
        <v>2024</v>
      </c>
      <c r="E341" s="102">
        <f t="shared" si="29"/>
        <v>1872.4</v>
      </c>
      <c r="F341" s="120">
        <v>0</v>
      </c>
      <c r="G341" s="102">
        <f>1872.4</f>
        <v>1872.4</v>
      </c>
      <c r="H341" s="102">
        <v>0</v>
      </c>
      <c r="I341" s="102">
        <v>0</v>
      </c>
      <c r="J341" s="102">
        <v>0</v>
      </c>
      <c r="K341" s="103"/>
      <c r="L341" s="149"/>
      <c r="M341" s="57"/>
    </row>
    <row r="342" spans="1:13" ht="23.1" customHeight="1" x14ac:dyDescent="0.25">
      <c r="A342" s="45"/>
      <c r="B342" s="199"/>
      <c r="C342" s="99"/>
      <c r="D342" s="104">
        <v>2025</v>
      </c>
      <c r="E342" s="102">
        <f t="shared" si="29"/>
        <v>1872.6</v>
      </c>
      <c r="F342" s="120">
        <v>0</v>
      </c>
      <c r="G342" s="102">
        <f>1872.6</f>
        <v>1872.6</v>
      </c>
      <c r="H342" s="102">
        <v>0</v>
      </c>
      <c r="I342" s="102">
        <v>0</v>
      </c>
      <c r="J342" s="102">
        <v>0</v>
      </c>
      <c r="K342" s="103"/>
      <c r="L342" s="149"/>
      <c r="M342" s="57"/>
    </row>
    <row r="343" spans="1:13" ht="23.1" customHeight="1" x14ac:dyDescent="0.25">
      <c r="A343" s="46"/>
      <c r="B343" s="213"/>
      <c r="C343" s="107"/>
      <c r="D343" s="104">
        <v>2026</v>
      </c>
      <c r="E343" s="102">
        <f t="shared" ref="E343" si="37">F343+G343+H343+J343</f>
        <v>1863.6</v>
      </c>
      <c r="F343" s="120">
        <v>0</v>
      </c>
      <c r="G343" s="102">
        <f>1863.6</f>
        <v>1863.6</v>
      </c>
      <c r="H343" s="102">
        <v>0</v>
      </c>
      <c r="I343" s="102">
        <v>0</v>
      </c>
      <c r="J343" s="102">
        <v>0</v>
      </c>
      <c r="K343" s="109"/>
      <c r="L343" s="156"/>
      <c r="M343" s="57"/>
    </row>
    <row r="344" spans="1:13" ht="23.1" customHeight="1" thickBot="1" x14ac:dyDescent="0.3">
      <c r="A344" s="47"/>
      <c r="B344" s="216"/>
      <c r="C344" s="111"/>
      <c r="D344" s="159">
        <v>2027</v>
      </c>
      <c r="E344" s="113">
        <f t="shared" si="29"/>
        <v>0</v>
      </c>
      <c r="F344" s="123">
        <v>0</v>
      </c>
      <c r="G344" s="113">
        <v>0</v>
      </c>
      <c r="H344" s="113">
        <v>0</v>
      </c>
      <c r="I344" s="113">
        <v>0</v>
      </c>
      <c r="J344" s="113">
        <v>0</v>
      </c>
      <c r="K344" s="114"/>
      <c r="L344" s="160"/>
      <c r="M344" s="57"/>
    </row>
    <row r="345" spans="1:13" ht="23.1" customHeight="1" x14ac:dyDescent="0.25">
      <c r="A345" s="48" t="s">
        <v>63</v>
      </c>
      <c r="B345" s="208" t="s">
        <v>64</v>
      </c>
      <c r="C345" s="141" t="e">
        <f>#REF!+#REF!+#REF!+#REF!+#REF!+#REF!+#REF!+#REF!</f>
        <v>#REF!</v>
      </c>
      <c r="D345" s="143">
        <v>2018</v>
      </c>
      <c r="E345" s="144">
        <f t="shared" si="29"/>
        <v>11979.5</v>
      </c>
      <c r="F345" s="144">
        <v>0</v>
      </c>
      <c r="G345" s="144">
        <v>11979.5</v>
      </c>
      <c r="H345" s="144">
        <v>0</v>
      </c>
      <c r="I345" s="144">
        <v>0</v>
      </c>
      <c r="J345" s="144">
        <v>0</v>
      </c>
      <c r="K345" s="145" t="s">
        <v>65</v>
      </c>
      <c r="L345" s="146" t="s">
        <v>6</v>
      </c>
      <c r="M345" s="57"/>
    </row>
    <row r="346" spans="1:13" ht="23.1" customHeight="1" x14ac:dyDescent="0.25">
      <c r="A346" s="45"/>
      <c r="B346" s="199"/>
      <c r="C346" s="99"/>
      <c r="D346" s="101">
        <v>2019</v>
      </c>
      <c r="E346" s="102">
        <f t="shared" si="29"/>
        <v>12072.5</v>
      </c>
      <c r="F346" s="102">
        <v>0</v>
      </c>
      <c r="G346" s="102">
        <v>12072.5</v>
      </c>
      <c r="H346" s="102">
        <v>0</v>
      </c>
      <c r="I346" s="102">
        <v>0</v>
      </c>
      <c r="J346" s="102">
        <v>0</v>
      </c>
      <c r="K346" s="103"/>
      <c r="L346" s="149"/>
      <c r="M346" s="57"/>
    </row>
    <row r="347" spans="1:13" ht="23.1" customHeight="1" x14ac:dyDescent="0.25">
      <c r="A347" s="45"/>
      <c r="B347" s="199"/>
      <c r="C347" s="99"/>
      <c r="D347" s="104">
        <v>2020</v>
      </c>
      <c r="E347" s="102">
        <f t="shared" si="29"/>
        <v>11906.2</v>
      </c>
      <c r="F347" s="120">
        <v>0</v>
      </c>
      <c r="G347" s="102">
        <v>11906.2</v>
      </c>
      <c r="H347" s="102">
        <v>0</v>
      </c>
      <c r="I347" s="102">
        <v>0</v>
      </c>
      <c r="J347" s="102">
        <v>0</v>
      </c>
      <c r="K347" s="103"/>
      <c r="L347" s="149"/>
      <c r="M347" s="57"/>
    </row>
    <row r="348" spans="1:13" ht="23.1" customHeight="1" x14ac:dyDescent="0.25">
      <c r="A348" s="45"/>
      <c r="B348" s="199"/>
      <c r="C348" s="99"/>
      <c r="D348" s="104">
        <v>2021</v>
      </c>
      <c r="E348" s="102">
        <f t="shared" si="29"/>
        <v>15891.7</v>
      </c>
      <c r="F348" s="120">
        <v>0</v>
      </c>
      <c r="G348" s="102">
        <v>15891.7</v>
      </c>
      <c r="H348" s="102">
        <v>0</v>
      </c>
      <c r="I348" s="102">
        <v>0</v>
      </c>
      <c r="J348" s="102">
        <v>0</v>
      </c>
      <c r="K348" s="103"/>
      <c r="L348" s="149"/>
      <c r="M348" s="57"/>
    </row>
    <row r="349" spans="1:13" ht="23.1" customHeight="1" x14ac:dyDescent="0.25">
      <c r="A349" s="45"/>
      <c r="B349" s="199"/>
      <c r="C349" s="99"/>
      <c r="D349" s="104">
        <v>2022</v>
      </c>
      <c r="E349" s="102">
        <f t="shared" si="29"/>
        <v>20605.099999999999</v>
      </c>
      <c r="F349" s="120">
        <v>0</v>
      </c>
      <c r="G349" s="102">
        <f>11862.2+2140.5+1002.4+2500+3000+100</f>
        <v>20605.099999999999</v>
      </c>
      <c r="H349" s="102">
        <v>0</v>
      </c>
      <c r="I349" s="102">
        <v>0</v>
      </c>
      <c r="J349" s="102">
        <v>0</v>
      </c>
      <c r="K349" s="103"/>
      <c r="L349" s="149"/>
      <c r="M349" s="57"/>
    </row>
    <row r="350" spans="1:13" ht="23.1" customHeight="1" x14ac:dyDescent="0.25">
      <c r="A350" s="45"/>
      <c r="B350" s="199"/>
      <c r="C350" s="99"/>
      <c r="D350" s="104">
        <v>2023</v>
      </c>
      <c r="E350" s="102">
        <f t="shared" si="29"/>
        <v>18631.5</v>
      </c>
      <c r="F350" s="120">
        <v>0</v>
      </c>
      <c r="G350" s="102">
        <f>11781.5+3200+3500+100+50</f>
        <v>18631.5</v>
      </c>
      <c r="H350" s="102">
        <v>0</v>
      </c>
      <c r="I350" s="102">
        <v>0</v>
      </c>
      <c r="J350" s="102">
        <v>0</v>
      </c>
      <c r="K350" s="103"/>
      <c r="L350" s="149"/>
      <c r="M350" s="57"/>
    </row>
    <row r="351" spans="1:13" ht="23.1" customHeight="1" x14ac:dyDescent="0.25">
      <c r="A351" s="45"/>
      <c r="B351" s="199"/>
      <c r="C351" s="99"/>
      <c r="D351" s="104">
        <v>2024</v>
      </c>
      <c r="E351" s="102">
        <f t="shared" si="29"/>
        <v>17700</v>
      </c>
      <c r="F351" s="120">
        <v>0</v>
      </c>
      <c r="G351" s="102">
        <f>11750.3+2235.5+3557.9+156.3-75+75</f>
        <v>17700</v>
      </c>
      <c r="H351" s="102">
        <v>0</v>
      </c>
      <c r="I351" s="102">
        <v>0</v>
      </c>
      <c r="J351" s="102">
        <v>0</v>
      </c>
      <c r="K351" s="103"/>
      <c r="L351" s="149"/>
      <c r="M351" s="57"/>
    </row>
    <row r="352" spans="1:13" ht="23.1" customHeight="1" x14ac:dyDescent="0.25">
      <c r="A352" s="45"/>
      <c r="B352" s="199"/>
      <c r="C352" s="99"/>
      <c r="D352" s="104">
        <v>2025</v>
      </c>
      <c r="E352" s="102">
        <f t="shared" si="29"/>
        <v>24505.599999999999</v>
      </c>
      <c r="F352" s="120">
        <v>0</v>
      </c>
      <c r="G352" s="102">
        <f>12709.7+11795.9</f>
        <v>24505.599999999999</v>
      </c>
      <c r="H352" s="102">
        <v>0</v>
      </c>
      <c r="I352" s="102">
        <v>0</v>
      </c>
      <c r="J352" s="102">
        <v>0</v>
      </c>
      <c r="K352" s="103"/>
      <c r="L352" s="149"/>
      <c r="M352" s="57"/>
    </row>
    <row r="353" spans="1:13" ht="23.1" customHeight="1" x14ac:dyDescent="0.25">
      <c r="A353" s="46"/>
      <c r="B353" s="213"/>
      <c r="C353" s="107"/>
      <c r="D353" s="108">
        <v>2026</v>
      </c>
      <c r="E353" s="102">
        <f t="shared" ref="E353" si="38">F353+G353+H353+J353</f>
        <v>25485.800000000003</v>
      </c>
      <c r="F353" s="120">
        <v>0</v>
      </c>
      <c r="G353" s="102">
        <f>13218.1+12267.7</f>
        <v>25485.800000000003</v>
      </c>
      <c r="H353" s="102">
        <v>0</v>
      </c>
      <c r="I353" s="102">
        <v>0</v>
      </c>
      <c r="J353" s="102">
        <v>0</v>
      </c>
      <c r="K353" s="109"/>
      <c r="L353" s="156"/>
      <c r="M353" s="57"/>
    </row>
    <row r="354" spans="1:13" ht="23.1" customHeight="1" thickBot="1" x14ac:dyDescent="0.3">
      <c r="A354" s="47"/>
      <c r="B354" s="216"/>
      <c r="C354" s="111"/>
      <c r="D354" s="122">
        <v>2027</v>
      </c>
      <c r="E354" s="113">
        <f t="shared" si="29"/>
        <v>12758.3</v>
      </c>
      <c r="F354" s="123">
        <v>0</v>
      </c>
      <c r="G354" s="113">
        <f>12758.3</f>
        <v>12758.3</v>
      </c>
      <c r="H354" s="113">
        <v>0</v>
      </c>
      <c r="I354" s="113">
        <v>0</v>
      </c>
      <c r="J354" s="113">
        <v>0</v>
      </c>
      <c r="K354" s="114"/>
      <c r="L354" s="160"/>
      <c r="M354" s="57"/>
    </row>
    <row r="355" spans="1:13" ht="23.45" customHeight="1" x14ac:dyDescent="0.25">
      <c r="A355" s="48" t="s">
        <v>66</v>
      </c>
      <c r="B355" s="208" t="s">
        <v>67</v>
      </c>
      <c r="C355" s="141" t="e">
        <f>#REF!+#REF!+#REF!+#REF!+#REF!+#REF!+#REF!+#REF!</f>
        <v>#REF!</v>
      </c>
      <c r="D355" s="143">
        <v>2018</v>
      </c>
      <c r="E355" s="144">
        <f t="shared" si="29"/>
        <v>11131.2</v>
      </c>
      <c r="F355" s="144">
        <v>0</v>
      </c>
      <c r="G355" s="144">
        <v>11131.2</v>
      </c>
      <c r="H355" s="144">
        <v>0</v>
      </c>
      <c r="I355" s="144">
        <v>0</v>
      </c>
      <c r="J355" s="144">
        <v>0</v>
      </c>
      <c r="K355" s="145" t="s">
        <v>68</v>
      </c>
      <c r="L355" s="146" t="s">
        <v>59</v>
      </c>
      <c r="M355" s="57"/>
    </row>
    <row r="356" spans="1:13" ht="23.45" customHeight="1" x14ac:dyDescent="0.25">
      <c r="A356" s="45"/>
      <c r="B356" s="199"/>
      <c r="C356" s="99"/>
      <c r="D356" s="101">
        <v>2019</v>
      </c>
      <c r="E356" s="102">
        <f t="shared" ref="E356:E435" si="39">F356+G356+H356+J356</f>
        <v>11898</v>
      </c>
      <c r="F356" s="102">
        <v>0</v>
      </c>
      <c r="G356" s="102">
        <v>11898</v>
      </c>
      <c r="H356" s="102">
        <v>0</v>
      </c>
      <c r="I356" s="102">
        <v>0</v>
      </c>
      <c r="J356" s="102">
        <v>0</v>
      </c>
      <c r="K356" s="103"/>
      <c r="L356" s="149"/>
      <c r="M356" s="57"/>
    </row>
    <row r="357" spans="1:13" ht="23.45" customHeight="1" x14ac:dyDescent="0.25">
      <c r="A357" s="45"/>
      <c r="B357" s="199"/>
      <c r="C357" s="99"/>
      <c r="D357" s="104">
        <v>2020</v>
      </c>
      <c r="E357" s="102">
        <f t="shared" si="39"/>
        <v>8632.9</v>
      </c>
      <c r="F357" s="120">
        <v>0</v>
      </c>
      <c r="G357" s="102">
        <v>8632.9</v>
      </c>
      <c r="H357" s="102">
        <v>0</v>
      </c>
      <c r="I357" s="102">
        <v>0</v>
      </c>
      <c r="J357" s="102">
        <v>0</v>
      </c>
      <c r="K357" s="103"/>
      <c r="L357" s="149"/>
      <c r="M357" s="57"/>
    </row>
    <row r="358" spans="1:13" ht="23.45" customHeight="1" x14ac:dyDescent="0.25">
      <c r="A358" s="45"/>
      <c r="B358" s="199"/>
      <c r="C358" s="99"/>
      <c r="D358" s="104">
        <v>2021</v>
      </c>
      <c r="E358" s="102">
        <f t="shared" si="39"/>
        <v>10460</v>
      </c>
      <c r="F358" s="120">
        <v>0</v>
      </c>
      <c r="G358" s="102">
        <v>10460</v>
      </c>
      <c r="H358" s="102">
        <v>0</v>
      </c>
      <c r="I358" s="102">
        <v>0</v>
      </c>
      <c r="J358" s="102">
        <v>0</v>
      </c>
      <c r="K358" s="103"/>
      <c r="L358" s="149"/>
      <c r="M358" s="57"/>
    </row>
    <row r="359" spans="1:13" ht="23.45" customHeight="1" x14ac:dyDescent="0.25">
      <c r="A359" s="45"/>
      <c r="B359" s="199"/>
      <c r="C359" s="99"/>
      <c r="D359" s="104">
        <v>2022</v>
      </c>
      <c r="E359" s="102">
        <f t="shared" si="39"/>
        <v>10000.699999999999</v>
      </c>
      <c r="F359" s="120">
        <v>0</v>
      </c>
      <c r="G359" s="102">
        <f>8638+20.4+1342.3</f>
        <v>10000.699999999999</v>
      </c>
      <c r="H359" s="102">
        <v>0</v>
      </c>
      <c r="I359" s="102">
        <v>0</v>
      </c>
      <c r="J359" s="102">
        <v>0</v>
      </c>
      <c r="K359" s="103"/>
      <c r="L359" s="149"/>
      <c r="M359" s="57"/>
    </row>
    <row r="360" spans="1:13" ht="23.45" customHeight="1" x14ac:dyDescent="0.25">
      <c r="A360" s="45"/>
      <c r="B360" s="199"/>
      <c r="C360" s="99"/>
      <c r="D360" s="104">
        <v>2023</v>
      </c>
      <c r="E360" s="102">
        <f t="shared" si="39"/>
        <v>10602.199999999999</v>
      </c>
      <c r="F360" s="120">
        <v>0</v>
      </c>
      <c r="G360" s="102">
        <f>9601.4+15+985.8</f>
        <v>10602.199999999999</v>
      </c>
      <c r="H360" s="102">
        <v>0</v>
      </c>
      <c r="I360" s="102">
        <v>0</v>
      </c>
      <c r="J360" s="102">
        <v>0</v>
      </c>
      <c r="K360" s="103"/>
      <c r="L360" s="149"/>
      <c r="M360" s="57"/>
    </row>
    <row r="361" spans="1:13" ht="23.45" customHeight="1" x14ac:dyDescent="0.25">
      <c r="A361" s="45"/>
      <c r="B361" s="199"/>
      <c r="C361" s="99"/>
      <c r="D361" s="104">
        <v>2024</v>
      </c>
      <c r="E361" s="102">
        <f t="shared" si="39"/>
        <v>13897.4</v>
      </c>
      <c r="F361" s="120">
        <v>0</v>
      </c>
      <c r="G361" s="102">
        <f>13897.4</f>
        <v>13897.4</v>
      </c>
      <c r="H361" s="102">
        <v>0</v>
      </c>
      <c r="I361" s="102">
        <v>0</v>
      </c>
      <c r="J361" s="102">
        <v>0</v>
      </c>
      <c r="K361" s="103"/>
      <c r="L361" s="149"/>
      <c r="M361" s="57"/>
    </row>
    <row r="362" spans="1:13" ht="23.45" customHeight="1" x14ac:dyDescent="0.25">
      <c r="A362" s="45"/>
      <c r="B362" s="199"/>
      <c r="C362" s="99"/>
      <c r="D362" s="104">
        <v>2025</v>
      </c>
      <c r="E362" s="102">
        <f t="shared" si="39"/>
        <v>27832.799999999999</v>
      </c>
      <c r="F362" s="120">
        <v>0</v>
      </c>
      <c r="G362" s="102">
        <f>13897.4+13935.4</f>
        <v>27832.799999999999</v>
      </c>
      <c r="H362" s="102">
        <v>0</v>
      </c>
      <c r="I362" s="102">
        <v>0</v>
      </c>
      <c r="J362" s="102">
        <v>0</v>
      </c>
      <c r="K362" s="103"/>
      <c r="L362" s="149"/>
      <c r="M362" s="57"/>
    </row>
    <row r="363" spans="1:13" ht="23.45" customHeight="1" x14ac:dyDescent="0.25">
      <c r="A363" s="46"/>
      <c r="B363" s="213"/>
      <c r="C363" s="107"/>
      <c r="D363" s="108">
        <v>2026</v>
      </c>
      <c r="E363" s="102">
        <f t="shared" ref="E363" si="40">F363+G363+H363+J363</f>
        <v>27832.799999999999</v>
      </c>
      <c r="F363" s="120">
        <v>0</v>
      </c>
      <c r="G363" s="102">
        <f>13897.4+13935.4</f>
        <v>27832.799999999999</v>
      </c>
      <c r="H363" s="102">
        <v>0</v>
      </c>
      <c r="I363" s="102">
        <v>0</v>
      </c>
      <c r="J363" s="102">
        <v>0</v>
      </c>
      <c r="K363" s="109"/>
      <c r="L363" s="156"/>
      <c r="M363" s="57"/>
    </row>
    <row r="364" spans="1:13" ht="23.45" customHeight="1" thickBot="1" x14ac:dyDescent="0.3">
      <c r="A364" s="47"/>
      <c r="B364" s="216"/>
      <c r="C364" s="111"/>
      <c r="D364" s="122">
        <v>2027</v>
      </c>
      <c r="E364" s="113">
        <f t="shared" si="39"/>
        <v>13935.4</v>
      </c>
      <c r="F364" s="123">
        <v>0</v>
      </c>
      <c r="G364" s="113">
        <f>13935.4</f>
        <v>13935.4</v>
      </c>
      <c r="H364" s="113">
        <v>0</v>
      </c>
      <c r="I364" s="113">
        <v>0</v>
      </c>
      <c r="J364" s="113">
        <v>0</v>
      </c>
      <c r="K364" s="114"/>
      <c r="L364" s="160"/>
      <c r="M364" s="57"/>
    </row>
    <row r="365" spans="1:13" ht="24.95" customHeight="1" x14ac:dyDescent="0.25">
      <c r="A365" s="48" t="s">
        <v>69</v>
      </c>
      <c r="B365" s="208" t="s">
        <v>70</v>
      </c>
      <c r="C365" s="141" t="e">
        <f>#REF!+#REF!+#REF!+#REF!+#REF!+#REF!+#REF!+#REF!</f>
        <v>#REF!</v>
      </c>
      <c r="D365" s="143">
        <v>2018</v>
      </c>
      <c r="E365" s="144">
        <f t="shared" si="39"/>
        <v>479</v>
      </c>
      <c r="F365" s="144">
        <v>0</v>
      </c>
      <c r="G365" s="144">
        <v>0</v>
      </c>
      <c r="H365" s="144">
        <v>479</v>
      </c>
      <c r="I365" s="144">
        <v>0</v>
      </c>
      <c r="J365" s="144">
        <v>0</v>
      </c>
      <c r="K365" s="145" t="s">
        <v>71</v>
      </c>
      <c r="L365" s="146" t="s">
        <v>72</v>
      </c>
      <c r="M365" s="57"/>
    </row>
    <row r="366" spans="1:13" ht="24.95" customHeight="1" x14ac:dyDescent="0.25">
      <c r="A366" s="45"/>
      <c r="B366" s="199"/>
      <c r="C366" s="99"/>
      <c r="D366" s="101">
        <v>2019</v>
      </c>
      <c r="E366" s="102">
        <f t="shared" si="39"/>
        <v>504.5</v>
      </c>
      <c r="F366" s="102">
        <v>0</v>
      </c>
      <c r="G366" s="102">
        <v>0</v>
      </c>
      <c r="H366" s="102">
        <v>504.5</v>
      </c>
      <c r="I366" s="102">
        <v>0</v>
      </c>
      <c r="J366" s="102">
        <v>0</v>
      </c>
      <c r="K366" s="103"/>
      <c r="L366" s="149"/>
      <c r="M366" s="57"/>
    </row>
    <row r="367" spans="1:13" ht="24.95" customHeight="1" x14ac:dyDescent="0.25">
      <c r="A367" s="45"/>
      <c r="B367" s="199"/>
      <c r="C367" s="99"/>
      <c r="D367" s="104">
        <v>2020</v>
      </c>
      <c r="E367" s="102">
        <f t="shared" si="39"/>
        <v>244.2</v>
      </c>
      <c r="F367" s="120">
        <v>0</v>
      </c>
      <c r="G367" s="102">
        <v>0</v>
      </c>
      <c r="H367" s="102">
        <v>244.2</v>
      </c>
      <c r="I367" s="102">
        <v>0</v>
      </c>
      <c r="J367" s="102">
        <v>0</v>
      </c>
      <c r="K367" s="103"/>
      <c r="L367" s="149"/>
      <c r="M367" s="57"/>
    </row>
    <row r="368" spans="1:13" ht="24.95" customHeight="1" x14ac:dyDescent="0.25">
      <c r="A368" s="45"/>
      <c r="B368" s="199"/>
      <c r="C368" s="99"/>
      <c r="D368" s="104">
        <v>2021</v>
      </c>
      <c r="E368" s="102">
        <f t="shared" si="39"/>
        <v>510</v>
      </c>
      <c r="F368" s="120">
        <v>0</v>
      </c>
      <c r="G368" s="102">
        <v>0</v>
      </c>
      <c r="H368" s="102">
        <v>510</v>
      </c>
      <c r="I368" s="102">
        <v>0</v>
      </c>
      <c r="J368" s="102">
        <v>0</v>
      </c>
      <c r="K368" s="103"/>
      <c r="L368" s="149"/>
      <c r="M368" s="57"/>
    </row>
    <row r="369" spans="1:13" ht="24.95" customHeight="1" x14ac:dyDescent="0.25">
      <c r="A369" s="45"/>
      <c r="B369" s="199"/>
      <c r="C369" s="99"/>
      <c r="D369" s="104">
        <v>2022</v>
      </c>
      <c r="E369" s="102">
        <f t="shared" si="39"/>
        <v>515.6</v>
      </c>
      <c r="F369" s="120">
        <v>0</v>
      </c>
      <c r="G369" s="102">
        <v>0</v>
      </c>
      <c r="H369" s="102">
        <f>530.4-14.8</f>
        <v>515.6</v>
      </c>
      <c r="I369" s="102">
        <v>0</v>
      </c>
      <c r="J369" s="102">
        <v>0</v>
      </c>
      <c r="K369" s="103"/>
      <c r="L369" s="149"/>
      <c r="M369" s="57"/>
    </row>
    <row r="370" spans="1:13" ht="24.95" customHeight="1" x14ac:dyDescent="0.25">
      <c r="A370" s="45"/>
      <c r="B370" s="199"/>
      <c r="C370" s="99"/>
      <c r="D370" s="104">
        <v>2023</v>
      </c>
      <c r="E370" s="102">
        <f t="shared" si="39"/>
        <v>488.20000000000005</v>
      </c>
      <c r="F370" s="120">
        <v>0</v>
      </c>
      <c r="G370" s="102">
        <v>0</v>
      </c>
      <c r="H370" s="102">
        <f>551.6-61.2-2.2</f>
        <v>488.20000000000005</v>
      </c>
      <c r="I370" s="102">
        <v>0</v>
      </c>
      <c r="J370" s="102">
        <v>0</v>
      </c>
      <c r="K370" s="103"/>
      <c r="L370" s="149"/>
      <c r="M370" s="57"/>
    </row>
    <row r="371" spans="1:13" ht="24.95" customHeight="1" x14ac:dyDescent="0.25">
      <c r="A371" s="45"/>
      <c r="B371" s="199"/>
      <c r="C371" s="99"/>
      <c r="D371" s="104">
        <v>2024</v>
      </c>
      <c r="E371" s="102">
        <f t="shared" si="39"/>
        <v>573.70000000000005</v>
      </c>
      <c r="F371" s="120">
        <v>0</v>
      </c>
      <c r="G371" s="102">
        <v>0</v>
      </c>
      <c r="H371" s="121">
        <f>573.7</f>
        <v>573.70000000000005</v>
      </c>
      <c r="I371" s="102">
        <v>0</v>
      </c>
      <c r="J371" s="102">
        <v>0</v>
      </c>
      <c r="K371" s="103"/>
      <c r="L371" s="149"/>
      <c r="M371" s="57"/>
    </row>
    <row r="372" spans="1:13" ht="24.95" customHeight="1" x14ac:dyDescent="0.25">
      <c r="A372" s="45"/>
      <c r="B372" s="199"/>
      <c r="C372" s="99"/>
      <c r="D372" s="104">
        <v>2025</v>
      </c>
      <c r="E372" s="102">
        <f t="shared" si="39"/>
        <v>800</v>
      </c>
      <c r="F372" s="120">
        <v>0</v>
      </c>
      <c r="G372" s="102">
        <v>0</v>
      </c>
      <c r="H372" s="121">
        <v>800</v>
      </c>
      <c r="I372" s="102">
        <v>0</v>
      </c>
      <c r="J372" s="102">
        <v>0</v>
      </c>
      <c r="K372" s="103"/>
      <c r="L372" s="149"/>
      <c r="M372" s="57"/>
    </row>
    <row r="373" spans="1:13" ht="24.95" customHeight="1" x14ac:dyDescent="0.25">
      <c r="A373" s="46"/>
      <c r="B373" s="213"/>
      <c r="C373" s="107"/>
      <c r="D373" s="108">
        <v>2026</v>
      </c>
      <c r="E373" s="102">
        <f t="shared" ref="E373" si="41">F373+G373+H373+J373</f>
        <v>800</v>
      </c>
      <c r="F373" s="120">
        <v>0</v>
      </c>
      <c r="G373" s="102">
        <v>0</v>
      </c>
      <c r="H373" s="121">
        <v>800</v>
      </c>
      <c r="I373" s="102">
        <v>0</v>
      </c>
      <c r="J373" s="102">
        <v>0</v>
      </c>
      <c r="K373" s="109"/>
      <c r="L373" s="156"/>
      <c r="M373" s="57"/>
    </row>
    <row r="374" spans="1:13" ht="24.95" customHeight="1" thickBot="1" x14ac:dyDescent="0.3">
      <c r="A374" s="47"/>
      <c r="B374" s="216"/>
      <c r="C374" s="111"/>
      <c r="D374" s="122">
        <v>2027</v>
      </c>
      <c r="E374" s="113">
        <f t="shared" si="39"/>
        <v>800</v>
      </c>
      <c r="F374" s="123">
        <v>0</v>
      </c>
      <c r="G374" s="113">
        <v>0</v>
      </c>
      <c r="H374" s="124">
        <v>800</v>
      </c>
      <c r="I374" s="113">
        <v>0</v>
      </c>
      <c r="J374" s="113">
        <v>0</v>
      </c>
      <c r="K374" s="114"/>
      <c r="L374" s="160"/>
      <c r="M374" s="57"/>
    </row>
    <row r="375" spans="1:13" ht="23.45" customHeight="1" x14ac:dyDescent="0.25">
      <c r="A375" s="48" t="s">
        <v>73</v>
      </c>
      <c r="B375" s="208" t="s">
        <v>74</v>
      </c>
      <c r="C375" s="141" t="e">
        <f>#REF!+#REF!+#REF!+#REF!+#REF!+#REF!+#REF!+#REF!</f>
        <v>#REF!</v>
      </c>
      <c r="D375" s="143">
        <v>2018</v>
      </c>
      <c r="E375" s="144">
        <f t="shared" si="39"/>
        <v>12599</v>
      </c>
      <c r="F375" s="144">
        <v>0</v>
      </c>
      <c r="G375" s="144">
        <v>0</v>
      </c>
      <c r="H375" s="144">
        <v>12599</v>
      </c>
      <c r="I375" s="144">
        <v>0</v>
      </c>
      <c r="J375" s="144">
        <v>0</v>
      </c>
      <c r="K375" s="145" t="s">
        <v>75</v>
      </c>
      <c r="L375" s="146" t="s">
        <v>31</v>
      </c>
      <c r="M375" s="57"/>
    </row>
    <row r="376" spans="1:13" ht="23.45" customHeight="1" x14ac:dyDescent="0.25">
      <c r="A376" s="45"/>
      <c r="B376" s="199"/>
      <c r="C376" s="99"/>
      <c r="D376" s="101">
        <v>2019</v>
      </c>
      <c r="E376" s="102">
        <f t="shared" si="39"/>
        <v>13349.7</v>
      </c>
      <c r="F376" s="102">
        <v>0</v>
      </c>
      <c r="G376" s="102">
        <v>0</v>
      </c>
      <c r="H376" s="102">
        <v>13349.7</v>
      </c>
      <c r="I376" s="102">
        <v>0</v>
      </c>
      <c r="J376" s="102">
        <v>0</v>
      </c>
      <c r="K376" s="103"/>
      <c r="L376" s="149"/>
      <c r="M376" s="57"/>
    </row>
    <row r="377" spans="1:13" ht="23.45" customHeight="1" x14ac:dyDescent="0.25">
      <c r="A377" s="45"/>
      <c r="B377" s="199"/>
      <c r="C377" s="99"/>
      <c r="D377" s="104">
        <v>2020</v>
      </c>
      <c r="E377" s="102">
        <f t="shared" si="39"/>
        <v>10171.200000000001</v>
      </c>
      <c r="F377" s="120">
        <v>0</v>
      </c>
      <c r="G377" s="102">
        <v>0</v>
      </c>
      <c r="H377" s="102">
        <v>10171.200000000001</v>
      </c>
      <c r="I377" s="102">
        <v>0</v>
      </c>
      <c r="J377" s="102">
        <v>0</v>
      </c>
      <c r="K377" s="103"/>
      <c r="L377" s="149"/>
      <c r="M377" s="57"/>
    </row>
    <row r="378" spans="1:13" ht="23.45" customHeight="1" x14ac:dyDescent="0.25">
      <c r="A378" s="45"/>
      <c r="B378" s="199"/>
      <c r="C378" s="99"/>
      <c r="D378" s="104">
        <v>2021</v>
      </c>
      <c r="E378" s="102">
        <f t="shared" si="39"/>
        <v>22215.8</v>
      </c>
      <c r="F378" s="120">
        <v>0</v>
      </c>
      <c r="G378" s="102">
        <v>0</v>
      </c>
      <c r="H378" s="102">
        <v>22215.8</v>
      </c>
      <c r="I378" s="102">
        <v>0</v>
      </c>
      <c r="J378" s="102">
        <v>0</v>
      </c>
      <c r="K378" s="103"/>
      <c r="L378" s="149"/>
      <c r="M378" s="57"/>
    </row>
    <row r="379" spans="1:13" ht="23.45" customHeight="1" x14ac:dyDescent="0.25">
      <c r="A379" s="45"/>
      <c r="B379" s="199"/>
      <c r="C379" s="99"/>
      <c r="D379" s="104">
        <v>2022</v>
      </c>
      <c r="E379" s="102">
        <f t="shared" si="39"/>
        <v>25597.9</v>
      </c>
      <c r="F379" s="120">
        <v>0</v>
      </c>
      <c r="G379" s="102">
        <v>0</v>
      </c>
      <c r="H379" s="102">
        <f>19637.9+5453.2+506.8</f>
        <v>25597.9</v>
      </c>
      <c r="I379" s="102">
        <v>0</v>
      </c>
      <c r="J379" s="102">
        <v>0</v>
      </c>
      <c r="K379" s="103"/>
      <c r="L379" s="149"/>
      <c r="M379" s="57"/>
    </row>
    <row r="380" spans="1:13" ht="23.45" customHeight="1" x14ac:dyDescent="0.25">
      <c r="A380" s="45"/>
      <c r="B380" s="199"/>
      <c r="C380" s="99"/>
      <c r="D380" s="104">
        <v>2023</v>
      </c>
      <c r="E380" s="102">
        <f t="shared" si="39"/>
        <v>73157.099999999991</v>
      </c>
      <c r="F380" s="120">
        <v>0</v>
      </c>
      <c r="G380" s="102">
        <v>0</v>
      </c>
      <c r="H380" s="102">
        <f>69260.5+2238.7+601.2+1087.3-30.6</f>
        <v>73157.099999999991</v>
      </c>
      <c r="I380" s="102">
        <v>0</v>
      </c>
      <c r="J380" s="102">
        <v>0</v>
      </c>
      <c r="K380" s="103"/>
      <c r="L380" s="149"/>
      <c r="M380" s="57"/>
    </row>
    <row r="381" spans="1:13" ht="23.45" customHeight="1" x14ac:dyDescent="0.25">
      <c r="A381" s="45"/>
      <c r="B381" s="199"/>
      <c r="C381" s="99"/>
      <c r="D381" s="104">
        <v>2024</v>
      </c>
      <c r="E381" s="102">
        <f t="shared" si="39"/>
        <v>92965.2</v>
      </c>
      <c r="F381" s="120">
        <v>0</v>
      </c>
      <c r="G381" s="102">
        <v>0</v>
      </c>
      <c r="H381" s="121">
        <f>77632.2+11475+3858</f>
        <v>92965.2</v>
      </c>
      <c r="I381" s="102">
        <v>0</v>
      </c>
      <c r="J381" s="102">
        <v>0</v>
      </c>
      <c r="K381" s="103"/>
      <c r="L381" s="149"/>
      <c r="M381" s="57"/>
    </row>
    <row r="382" spans="1:13" ht="23.45" customHeight="1" x14ac:dyDescent="0.25">
      <c r="A382" s="45"/>
      <c r="B382" s="199"/>
      <c r="C382" s="99"/>
      <c r="D382" s="104">
        <v>2025</v>
      </c>
      <c r="E382" s="102">
        <f t="shared" si="39"/>
        <v>105494.39999999999</v>
      </c>
      <c r="F382" s="120">
        <v>0</v>
      </c>
      <c r="G382" s="102">
        <v>0</v>
      </c>
      <c r="H382" s="121">
        <f>105180+314.4</f>
        <v>105494.39999999999</v>
      </c>
      <c r="I382" s="102">
        <v>0</v>
      </c>
      <c r="J382" s="102">
        <v>0</v>
      </c>
      <c r="K382" s="103"/>
      <c r="L382" s="149"/>
      <c r="M382" s="57"/>
    </row>
    <row r="383" spans="1:13" ht="23.45" customHeight="1" x14ac:dyDescent="0.25">
      <c r="A383" s="46"/>
      <c r="B383" s="213"/>
      <c r="C383" s="107"/>
      <c r="D383" s="108">
        <v>2026</v>
      </c>
      <c r="E383" s="102">
        <f t="shared" ref="E383" si="42">F383+G383+H383+J383</f>
        <v>105494.39999999999</v>
      </c>
      <c r="F383" s="120">
        <v>0</v>
      </c>
      <c r="G383" s="102">
        <v>0</v>
      </c>
      <c r="H383" s="121">
        <f>105180+314.4</f>
        <v>105494.39999999999</v>
      </c>
      <c r="I383" s="102">
        <v>0</v>
      </c>
      <c r="J383" s="102">
        <v>0</v>
      </c>
      <c r="K383" s="109"/>
      <c r="L383" s="156"/>
      <c r="M383" s="57"/>
    </row>
    <row r="384" spans="1:13" ht="23.45" customHeight="1" thickBot="1" x14ac:dyDescent="0.3">
      <c r="A384" s="47"/>
      <c r="B384" s="216"/>
      <c r="C384" s="111"/>
      <c r="D384" s="122">
        <v>2027</v>
      </c>
      <c r="E384" s="113">
        <f t="shared" si="39"/>
        <v>105494.39999999999</v>
      </c>
      <c r="F384" s="123">
        <v>0</v>
      </c>
      <c r="G384" s="113">
        <v>0</v>
      </c>
      <c r="H384" s="124">
        <f>105180+314.4</f>
        <v>105494.39999999999</v>
      </c>
      <c r="I384" s="113">
        <v>0</v>
      </c>
      <c r="J384" s="113">
        <v>0</v>
      </c>
      <c r="K384" s="114"/>
      <c r="L384" s="160"/>
      <c r="M384" s="57"/>
    </row>
    <row r="385" spans="1:13" ht="23.45" customHeight="1" x14ac:dyDescent="0.25">
      <c r="A385" s="48" t="s">
        <v>76</v>
      </c>
      <c r="B385" s="208" t="s">
        <v>77</v>
      </c>
      <c r="C385" s="141" t="e">
        <f>#REF!+#REF!+#REF!+#REF!+#REF!+#REF!+#REF!+#REF!</f>
        <v>#REF!</v>
      </c>
      <c r="D385" s="143">
        <v>2018</v>
      </c>
      <c r="E385" s="144">
        <f t="shared" si="39"/>
        <v>4261.5</v>
      </c>
      <c r="F385" s="144">
        <v>0</v>
      </c>
      <c r="G385" s="144">
        <v>0</v>
      </c>
      <c r="H385" s="144">
        <v>4261.5</v>
      </c>
      <c r="I385" s="144">
        <v>0</v>
      </c>
      <c r="J385" s="144">
        <v>0</v>
      </c>
      <c r="K385" s="145" t="s">
        <v>78</v>
      </c>
      <c r="L385" s="146" t="s">
        <v>31</v>
      </c>
      <c r="M385" s="57"/>
    </row>
    <row r="386" spans="1:13" ht="23.45" customHeight="1" x14ac:dyDescent="0.25">
      <c r="A386" s="45"/>
      <c r="B386" s="199"/>
      <c r="C386" s="99"/>
      <c r="D386" s="101">
        <v>2019</v>
      </c>
      <c r="E386" s="102">
        <f t="shared" si="39"/>
        <v>9512</v>
      </c>
      <c r="F386" s="102">
        <v>0</v>
      </c>
      <c r="G386" s="102">
        <v>0</v>
      </c>
      <c r="H386" s="102">
        <v>9512</v>
      </c>
      <c r="I386" s="102">
        <v>0</v>
      </c>
      <c r="J386" s="102">
        <v>0</v>
      </c>
      <c r="K386" s="103"/>
      <c r="L386" s="149"/>
      <c r="M386" s="57"/>
    </row>
    <row r="387" spans="1:13" ht="23.45" customHeight="1" x14ac:dyDescent="0.25">
      <c r="A387" s="45"/>
      <c r="B387" s="199"/>
      <c r="C387" s="99"/>
      <c r="D387" s="104">
        <v>2020</v>
      </c>
      <c r="E387" s="102">
        <f t="shared" si="39"/>
        <v>14875.1</v>
      </c>
      <c r="F387" s="120">
        <v>0</v>
      </c>
      <c r="G387" s="102">
        <v>0</v>
      </c>
      <c r="H387" s="102">
        <v>14875.1</v>
      </c>
      <c r="I387" s="102">
        <v>0</v>
      </c>
      <c r="J387" s="102">
        <v>0</v>
      </c>
      <c r="K387" s="103"/>
      <c r="L387" s="149"/>
      <c r="M387" s="57"/>
    </row>
    <row r="388" spans="1:13" ht="23.45" customHeight="1" x14ac:dyDescent="0.25">
      <c r="A388" s="45"/>
      <c r="B388" s="199"/>
      <c r="C388" s="99"/>
      <c r="D388" s="104">
        <v>2021</v>
      </c>
      <c r="E388" s="102">
        <f t="shared" si="39"/>
        <v>20110.5</v>
      </c>
      <c r="F388" s="120">
        <v>0</v>
      </c>
      <c r="G388" s="102">
        <v>0</v>
      </c>
      <c r="H388" s="102">
        <v>20110.5</v>
      </c>
      <c r="I388" s="102">
        <v>0</v>
      </c>
      <c r="J388" s="102">
        <v>0</v>
      </c>
      <c r="K388" s="103"/>
      <c r="L388" s="149"/>
      <c r="M388" s="57"/>
    </row>
    <row r="389" spans="1:13" ht="23.45" customHeight="1" x14ac:dyDescent="0.25">
      <c r="A389" s="45"/>
      <c r="B389" s="199"/>
      <c r="C389" s="99"/>
      <c r="D389" s="104">
        <v>2022</v>
      </c>
      <c r="E389" s="102">
        <f t="shared" si="39"/>
        <v>11547.3</v>
      </c>
      <c r="F389" s="120">
        <v>0</v>
      </c>
      <c r="G389" s="102">
        <v>0</v>
      </c>
      <c r="H389" s="102">
        <v>11547.3</v>
      </c>
      <c r="I389" s="102">
        <v>0</v>
      </c>
      <c r="J389" s="102">
        <v>0</v>
      </c>
      <c r="K389" s="103"/>
      <c r="L389" s="149"/>
      <c r="M389" s="57"/>
    </row>
    <row r="390" spans="1:13" ht="23.45" customHeight="1" x14ac:dyDescent="0.25">
      <c r="A390" s="45"/>
      <c r="B390" s="199"/>
      <c r="C390" s="99"/>
      <c r="D390" s="104">
        <v>2023</v>
      </c>
      <c r="E390" s="102">
        <f t="shared" si="39"/>
        <v>17369</v>
      </c>
      <c r="F390" s="120">
        <v>0</v>
      </c>
      <c r="G390" s="102">
        <v>0</v>
      </c>
      <c r="H390" s="102">
        <f>20721.3-2739.1-1249.1+319.8+316.1</f>
        <v>17369</v>
      </c>
      <c r="I390" s="102">
        <v>0</v>
      </c>
      <c r="J390" s="102">
        <v>0</v>
      </c>
      <c r="K390" s="103"/>
      <c r="L390" s="149"/>
      <c r="M390" s="57"/>
    </row>
    <row r="391" spans="1:13" ht="23.45" customHeight="1" x14ac:dyDescent="0.25">
      <c r="A391" s="45"/>
      <c r="B391" s="199"/>
      <c r="C391" s="99"/>
      <c r="D391" s="104">
        <v>2024</v>
      </c>
      <c r="E391" s="102">
        <f t="shared" si="39"/>
        <v>31500</v>
      </c>
      <c r="F391" s="120">
        <v>0</v>
      </c>
      <c r="G391" s="102">
        <v>0</v>
      </c>
      <c r="H391" s="121">
        <f>43069-11475-94</f>
        <v>31500</v>
      </c>
      <c r="I391" s="102">
        <v>0</v>
      </c>
      <c r="J391" s="102">
        <v>0</v>
      </c>
      <c r="K391" s="103"/>
      <c r="L391" s="149"/>
      <c r="M391" s="57"/>
    </row>
    <row r="392" spans="1:13" ht="23.45" customHeight="1" x14ac:dyDescent="0.25">
      <c r="A392" s="45"/>
      <c r="B392" s="199"/>
      <c r="C392" s="99"/>
      <c r="D392" s="104">
        <v>2025</v>
      </c>
      <c r="E392" s="102">
        <f t="shared" si="39"/>
        <v>17952.400000000001</v>
      </c>
      <c r="F392" s="120">
        <v>0</v>
      </c>
      <c r="G392" s="102">
        <v>0</v>
      </c>
      <c r="H392" s="121">
        <v>17952.400000000001</v>
      </c>
      <c r="I392" s="102">
        <v>0</v>
      </c>
      <c r="J392" s="102">
        <v>0</v>
      </c>
      <c r="K392" s="103"/>
      <c r="L392" s="149"/>
      <c r="M392" s="57"/>
    </row>
    <row r="393" spans="1:13" ht="23.45" customHeight="1" x14ac:dyDescent="0.25">
      <c r="A393" s="46"/>
      <c r="B393" s="213"/>
      <c r="C393" s="107"/>
      <c r="D393" s="104">
        <v>2026</v>
      </c>
      <c r="E393" s="102">
        <f t="shared" ref="E393" si="43">F393+G393+H393+J393</f>
        <v>17952.400000000001</v>
      </c>
      <c r="F393" s="120">
        <v>0</v>
      </c>
      <c r="G393" s="102">
        <v>0</v>
      </c>
      <c r="H393" s="121">
        <v>17952.400000000001</v>
      </c>
      <c r="I393" s="102">
        <v>0</v>
      </c>
      <c r="J393" s="102">
        <v>0</v>
      </c>
      <c r="K393" s="109"/>
      <c r="L393" s="156"/>
      <c r="M393" s="57"/>
    </row>
    <row r="394" spans="1:13" ht="23.45" customHeight="1" thickBot="1" x14ac:dyDescent="0.3">
      <c r="A394" s="47"/>
      <c r="B394" s="216"/>
      <c r="C394" s="111"/>
      <c r="D394" s="159">
        <v>2027</v>
      </c>
      <c r="E394" s="113">
        <f t="shared" si="39"/>
        <v>17952.400000000001</v>
      </c>
      <c r="F394" s="123">
        <v>0</v>
      </c>
      <c r="G394" s="113">
        <v>0</v>
      </c>
      <c r="H394" s="124">
        <v>17952.400000000001</v>
      </c>
      <c r="I394" s="113">
        <v>0</v>
      </c>
      <c r="J394" s="113">
        <v>0</v>
      </c>
      <c r="K394" s="114"/>
      <c r="L394" s="160"/>
      <c r="M394" s="57"/>
    </row>
    <row r="395" spans="1:13" ht="30" customHeight="1" x14ac:dyDescent="0.25">
      <c r="A395" s="48" t="s">
        <v>79</v>
      </c>
      <c r="B395" s="226" t="s">
        <v>80</v>
      </c>
      <c r="C395" s="141" t="e">
        <f>#REF!+#REF!+#REF!+#REF!+#REF!+#REF!+#REF!+#REF!</f>
        <v>#REF!</v>
      </c>
      <c r="D395" s="143">
        <v>2018</v>
      </c>
      <c r="E395" s="144">
        <f t="shared" si="39"/>
        <v>0</v>
      </c>
      <c r="F395" s="144">
        <v>0</v>
      </c>
      <c r="G395" s="144">
        <v>0</v>
      </c>
      <c r="H395" s="144">
        <v>0</v>
      </c>
      <c r="I395" s="144">
        <v>0</v>
      </c>
      <c r="J395" s="144">
        <v>0</v>
      </c>
      <c r="K395" s="145" t="s">
        <v>81</v>
      </c>
      <c r="L395" s="146" t="s">
        <v>6</v>
      </c>
      <c r="M395" s="57"/>
    </row>
    <row r="396" spans="1:13" ht="30" customHeight="1" x14ac:dyDescent="0.25">
      <c r="A396" s="45"/>
      <c r="B396" s="227"/>
      <c r="C396" s="99"/>
      <c r="D396" s="101">
        <v>2019</v>
      </c>
      <c r="E396" s="102">
        <f t="shared" si="39"/>
        <v>320</v>
      </c>
      <c r="F396" s="102">
        <v>0</v>
      </c>
      <c r="G396" s="102">
        <v>0</v>
      </c>
      <c r="H396" s="102">
        <v>320</v>
      </c>
      <c r="I396" s="102">
        <v>0</v>
      </c>
      <c r="J396" s="102">
        <v>0</v>
      </c>
      <c r="K396" s="103"/>
      <c r="L396" s="149"/>
      <c r="M396" s="57"/>
    </row>
    <row r="397" spans="1:13" ht="30" customHeight="1" x14ac:dyDescent="0.25">
      <c r="A397" s="45"/>
      <c r="B397" s="227"/>
      <c r="C397" s="99"/>
      <c r="D397" s="104">
        <v>2020</v>
      </c>
      <c r="E397" s="102">
        <f t="shared" si="39"/>
        <v>0</v>
      </c>
      <c r="F397" s="120">
        <v>0</v>
      </c>
      <c r="G397" s="102">
        <v>0</v>
      </c>
      <c r="H397" s="102">
        <v>0</v>
      </c>
      <c r="I397" s="102">
        <v>0</v>
      </c>
      <c r="J397" s="102">
        <v>0</v>
      </c>
      <c r="K397" s="103"/>
      <c r="L397" s="149"/>
      <c r="M397" s="57"/>
    </row>
    <row r="398" spans="1:13" ht="30" customHeight="1" x14ac:dyDescent="0.25">
      <c r="A398" s="45"/>
      <c r="B398" s="227"/>
      <c r="C398" s="99"/>
      <c r="D398" s="104">
        <v>2021</v>
      </c>
      <c r="E398" s="102">
        <f t="shared" si="39"/>
        <v>0</v>
      </c>
      <c r="F398" s="120">
        <v>0</v>
      </c>
      <c r="G398" s="102">
        <v>0</v>
      </c>
      <c r="H398" s="102">
        <v>0</v>
      </c>
      <c r="I398" s="102">
        <v>0</v>
      </c>
      <c r="J398" s="102">
        <v>0</v>
      </c>
      <c r="K398" s="103"/>
      <c r="L398" s="149"/>
      <c r="M398" s="57"/>
    </row>
    <row r="399" spans="1:13" ht="30" customHeight="1" x14ac:dyDescent="0.25">
      <c r="A399" s="45"/>
      <c r="B399" s="227"/>
      <c r="C399" s="99"/>
      <c r="D399" s="104">
        <v>2022</v>
      </c>
      <c r="E399" s="102">
        <f t="shared" si="39"/>
        <v>0</v>
      </c>
      <c r="F399" s="120">
        <v>0</v>
      </c>
      <c r="G399" s="102">
        <v>0</v>
      </c>
      <c r="H399" s="102">
        <v>0</v>
      </c>
      <c r="I399" s="102">
        <v>0</v>
      </c>
      <c r="J399" s="102">
        <v>0</v>
      </c>
      <c r="K399" s="103"/>
      <c r="L399" s="149"/>
      <c r="M399" s="57"/>
    </row>
    <row r="400" spans="1:13" ht="30" customHeight="1" x14ac:dyDescent="0.25">
      <c r="A400" s="45"/>
      <c r="B400" s="227"/>
      <c r="C400" s="99"/>
      <c r="D400" s="104">
        <v>2023</v>
      </c>
      <c r="E400" s="102">
        <f t="shared" si="39"/>
        <v>0</v>
      </c>
      <c r="F400" s="120">
        <v>0</v>
      </c>
      <c r="G400" s="102">
        <v>0</v>
      </c>
      <c r="H400" s="102">
        <v>0</v>
      </c>
      <c r="I400" s="102">
        <v>0</v>
      </c>
      <c r="J400" s="102">
        <v>0</v>
      </c>
      <c r="K400" s="103"/>
      <c r="L400" s="149"/>
      <c r="M400" s="57"/>
    </row>
    <row r="401" spans="1:13" ht="30" customHeight="1" x14ac:dyDescent="0.25">
      <c r="A401" s="45"/>
      <c r="B401" s="227"/>
      <c r="C401" s="99"/>
      <c r="D401" s="104">
        <v>2024</v>
      </c>
      <c r="E401" s="102">
        <f t="shared" si="39"/>
        <v>0</v>
      </c>
      <c r="F401" s="120">
        <v>0</v>
      </c>
      <c r="G401" s="102">
        <v>0</v>
      </c>
      <c r="H401" s="102">
        <v>0</v>
      </c>
      <c r="I401" s="102">
        <v>0</v>
      </c>
      <c r="J401" s="102">
        <v>0</v>
      </c>
      <c r="K401" s="103"/>
      <c r="L401" s="149"/>
      <c r="M401" s="57"/>
    </row>
    <row r="402" spans="1:13" ht="30" customHeight="1" x14ac:dyDescent="0.25">
      <c r="A402" s="45"/>
      <c r="B402" s="227"/>
      <c r="C402" s="99"/>
      <c r="D402" s="104">
        <v>2025</v>
      </c>
      <c r="E402" s="102">
        <f t="shared" si="39"/>
        <v>0</v>
      </c>
      <c r="F402" s="120">
        <v>0</v>
      </c>
      <c r="G402" s="102">
        <v>0</v>
      </c>
      <c r="H402" s="102">
        <v>0</v>
      </c>
      <c r="I402" s="102">
        <v>0</v>
      </c>
      <c r="J402" s="102">
        <v>0</v>
      </c>
      <c r="K402" s="103"/>
      <c r="L402" s="149"/>
      <c r="M402" s="57"/>
    </row>
    <row r="403" spans="1:13" ht="30" customHeight="1" x14ac:dyDescent="0.25">
      <c r="A403" s="46"/>
      <c r="B403" s="228"/>
      <c r="C403" s="107"/>
      <c r="D403" s="108">
        <v>2026</v>
      </c>
      <c r="E403" s="102">
        <f t="shared" ref="E403" si="44">F403+G403+H403+J403</f>
        <v>0</v>
      </c>
      <c r="F403" s="120">
        <v>0</v>
      </c>
      <c r="G403" s="102">
        <v>0</v>
      </c>
      <c r="H403" s="102">
        <v>0</v>
      </c>
      <c r="I403" s="102">
        <v>0</v>
      </c>
      <c r="J403" s="102">
        <v>0</v>
      </c>
      <c r="K403" s="109"/>
      <c r="L403" s="156"/>
      <c r="M403" s="57"/>
    </row>
    <row r="404" spans="1:13" ht="30" customHeight="1" thickBot="1" x14ac:dyDescent="0.3">
      <c r="A404" s="47"/>
      <c r="B404" s="229"/>
      <c r="C404" s="111"/>
      <c r="D404" s="122">
        <v>2027</v>
      </c>
      <c r="E404" s="113">
        <f t="shared" si="39"/>
        <v>0</v>
      </c>
      <c r="F404" s="123">
        <v>0</v>
      </c>
      <c r="G404" s="113">
        <v>0</v>
      </c>
      <c r="H404" s="113">
        <v>0</v>
      </c>
      <c r="I404" s="113">
        <v>0</v>
      </c>
      <c r="J404" s="113">
        <v>0</v>
      </c>
      <c r="K404" s="114"/>
      <c r="L404" s="160"/>
      <c r="M404" s="57"/>
    </row>
    <row r="405" spans="1:13" ht="30.95" customHeight="1" x14ac:dyDescent="0.25">
      <c r="A405" s="48" t="s">
        <v>82</v>
      </c>
      <c r="B405" s="226" t="s">
        <v>83</v>
      </c>
      <c r="C405" s="141" t="e">
        <f>#REF!+#REF!+#REF!+#REF!+#REF!+#REF!+#REF!+#REF!</f>
        <v>#REF!</v>
      </c>
      <c r="D405" s="143">
        <v>2018</v>
      </c>
      <c r="E405" s="144">
        <f t="shared" si="39"/>
        <v>1519.3</v>
      </c>
      <c r="F405" s="144">
        <v>0</v>
      </c>
      <c r="G405" s="144">
        <v>1519.3</v>
      </c>
      <c r="H405" s="144">
        <v>0</v>
      </c>
      <c r="I405" s="144">
        <v>0</v>
      </c>
      <c r="J405" s="144">
        <v>0</v>
      </c>
      <c r="K405" s="145" t="s">
        <v>84</v>
      </c>
      <c r="L405" s="146" t="s">
        <v>85</v>
      </c>
      <c r="M405" s="57"/>
    </row>
    <row r="406" spans="1:13" ht="30.95" customHeight="1" x14ac:dyDescent="0.25">
      <c r="A406" s="45"/>
      <c r="B406" s="227"/>
      <c r="C406" s="99"/>
      <c r="D406" s="101">
        <v>2019</v>
      </c>
      <c r="E406" s="102">
        <f t="shared" si="39"/>
        <v>2994.3</v>
      </c>
      <c r="F406" s="102">
        <v>0</v>
      </c>
      <c r="G406" s="102">
        <v>2994.3</v>
      </c>
      <c r="H406" s="102">
        <v>0</v>
      </c>
      <c r="I406" s="102">
        <v>0</v>
      </c>
      <c r="J406" s="102">
        <v>0</v>
      </c>
      <c r="K406" s="103"/>
      <c r="L406" s="149"/>
      <c r="M406" s="57"/>
    </row>
    <row r="407" spans="1:13" ht="30.95" customHeight="1" x14ac:dyDescent="0.25">
      <c r="A407" s="45"/>
      <c r="B407" s="227"/>
      <c r="C407" s="99"/>
      <c r="D407" s="100">
        <v>2020</v>
      </c>
      <c r="E407" s="102">
        <f t="shared" si="39"/>
        <v>5667.1</v>
      </c>
      <c r="F407" s="105">
        <v>0</v>
      </c>
      <c r="G407" s="102">
        <v>5667.1</v>
      </c>
      <c r="H407" s="102">
        <v>0</v>
      </c>
      <c r="I407" s="102">
        <v>0</v>
      </c>
      <c r="J407" s="102">
        <v>0</v>
      </c>
      <c r="K407" s="103"/>
      <c r="L407" s="149"/>
      <c r="M407" s="57"/>
    </row>
    <row r="408" spans="1:13" ht="30.95" customHeight="1" x14ac:dyDescent="0.25">
      <c r="A408" s="45"/>
      <c r="B408" s="227"/>
      <c r="C408" s="99"/>
      <c r="D408" s="100">
        <v>2021</v>
      </c>
      <c r="E408" s="102">
        <f t="shared" si="39"/>
        <v>3376.6</v>
      </c>
      <c r="F408" s="105">
        <v>0</v>
      </c>
      <c r="G408" s="102">
        <v>3376.6</v>
      </c>
      <c r="H408" s="102">
        <v>0</v>
      </c>
      <c r="I408" s="102">
        <v>0</v>
      </c>
      <c r="J408" s="102">
        <v>0</v>
      </c>
      <c r="K408" s="103"/>
      <c r="L408" s="149"/>
      <c r="M408" s="57"/>
    </row>
    <row r="409" spans="1:13" ht="30.95" customHeight="1" x14ac:dyDescent="0.25">
      <c r="A409" s="45"/>
      <c r="B409" s="227"/>
      <c r="C409" s="99"/>
      <c r="D409" s="100">
        <v>2022</v>
      </c>
      <c r="E409" s="102">
        <f t="shared" si="39"/>
        <v>6452.5</v>
      </c>
      <c r="F409" s="105">
        <v>0</v>
      </c>
      <c r="G409" s="102">
        <f>3927+1807.5+718</f>
        <v>6452.5</v>
      </c>
      <c r="H409" s="102">
        <v>0</v>
      </c>
      <c r="I409" s="102">
        <v>0</v>
      </c>
      <c r="J409" s="102">
        <v>0</v>
      </c>
      <c r="K409" s="103"/>
      <c r="L409" s="149"/>
      <c r="M409" s="57"/>
    </row>
    <row r="410" spans="1:13" ht="30.95" customHeight="1" x14ac:dyDescent="0.25">
      <c r="A410" s="45"/>
      <c r="B410" s="227"/>
      <c r="C410" s="99"/>
      <c r="D410" s="100">
        <v>2023</v>
      </c>
      <c r="E410" s="102">
        <f t="shared" si="39"/>
        <v>3372.5</v>
      </c>
      <c r="F410" s="105">
        <v>0</v>
      </c>
      <c r="G410" s="102">
        <f>3047.4+325.1</f>
        <v>3372.5</v>
      </c>
      <c r="H410" s="102">
        <v>0</v>
      </c>
      <c r="I410" s="102">
        <v>0</v>
      </c>
      <c r="J410" s="102">
        <v>0</v>
      </c>
      <c r="K410" s="103"/>
      <c r="L410" s="149"/>
      <c r="M410" s="57"/>
    </row>
    <row r="411" spans="1:13" ht="30.95" customHeight="1" x14ac:dyDescent="0.25">
      <c r="A411" s="45"/>
      <c r="B411" s="227"/>
      <c r="C411" s="99"/>
      <c r="D411" s="100">
        <v>2024</v>
      </c>
      <c r="E411" s="102">
        <f t="shared" si="39"/>
        <v>4058.4</v>
      </c>
      <c r="F411" s="105">
        <v>0</v>
      </c>
      <c r="G411" s="102">
        <f>3908.9+149.5</f>
        <v>4058.4</v>
      </c>
      <c r="H411" s="102">
        <v>0</v>
      </c>
      <c r="I411" s="102">
        <v>0</v>
      </c>
      <c r="J411" s="102">
        <v>0</v>
      </c>
      <c r="K411" s="103"/>
      <c r="L411" s="149"/>
      <c r="M411" s="57"/>
    </row>
    <row r="412" spans="1:13" ht="30.95" customHeight="1" x14ac:dyDescent="0.25">
      <c r="A412" s="45"/>
      <c r="B412" s="227"/>
      <c r="C412" s="99"/>
      <c r="D412" s="100">
        <v>2025</v>
      </c>
      <c r="E412" s="102">
        <f t="shared" si="39"/>
        <v>7370.5</v>
      </c>
      <c r="F412" s="105">
        <v>0</v>
      </c>
      <c r="G412" s="102">
        <f>3780.1+3590.4</f>
        <v>7370.5</v>
      </c>
      <c r="H412" s="102">
        <v>0</v>
      </c>
      <c r="I412" s="102">
        <v>0</v>
      </c>
      <c r="J412" s="102">
        <v>0</v>
      </c>
      <c r="K412" s="103"/>
      <c r="L412" s="149"/>
      <c r="M412" s="57"/>
    </row>
    <row r="413" spans="1:13" ht="30.95" customHeight="1" x14ac:dyDescent="0.25">
      <c r="A413" s="46"/>
      <c r="B413" s="228"/>
      <c r="C413" s="107"/>
      <c r="D413" s="100">
        <v>2026</v>
      </c>
      <c r="E413" s="102">
        <f t="shared" ref="E413" si="45">F413+G413+H413+J413</f>
        <v>7449.2000000000007</v>
      </c>
      <c r="F413" s="105">
        <v>0</v>
      </c>
      <c r="G413" s="102">
        <f>3748.3+3700.9</f>
        <v>7449.2000000000007</v>
      </c>
      <c r="H413" s="102">
        <v>0</v>
      </c>
      <c r="I413" s="102">
        <v>0</v>
      </c>
      <c r="J413" s="102">
        <v>0</v>
      </c>
      <c r="K413" s="109"/>
      <c r="L413" s="156"/>
      <c r="M413" s="57"/>
    </row>
    <row r="414" spans="1:13" ht="30.95" customHeight="1" thickBot="1" x14ac:dyDescent="0.3">
      <c r="A414" s="47"/>
      <c r="B414" s="229"/>
      <c r="C414" s="111"/>
      <c r="D414" s="230">
        <v>2027</v>
      </c>
      <c r="E414" s="113">
        <f t="shared" si="39"/>
        <v>3700.9</v>
      </c>
      <c r="F414" s="231">
        <v>0</v>
      </c>
      <c r="G414" s="113">
        <f>3700.9</f>
        <v>3700.9</v>
      </c>
      <c r="H414" s="113">
        <v>0</v>
      </c>
      <c r="I414" s="113">
        <v>0</v>
      </c>
      <c r="J414" s="113">
        <v>0</v>
      </c>
      <c r="K414" s="114"/>
      <c r="L414" s="160"/>
      <c r="M414" s="57"/>
    </row>
    <row r="415" spans="1:13" ht="30" customHeight="1" x14ac:dyDescent="0.25">
      <c r="A415" s="48" t="s">
        <v>87</v>
      </c>
      <c r="B415" s="226" t="s">
        <v>86</v>
      </c>
      <c r="C415" s="141" t="e">
        <f>#REF!+#REF!+#REF!+#REF!+#REF!+#REF!+#REF!+#REF!</f>
        <v>#REF!</v>
      </c>
      <c r="D415" s="143">
        <v>2018</v>
      </c>
      <c r="E415" s="144">
        <f t="shared" si="39"/>
        <v>6287.5</v>
      </c>
      <c r="F415" s="144">
        <v>0</v>
      </c>
      <c r="G415" s="144">
        <v>3143.7</v>
      </c>
      <c r="H415" s="144">
        <v>3143.8</v>
      </c>
      <c r="I415" s="144">
        <v>3143.7</v>
      </c>
      <c r="J415" s="144">
        <v>0</v>
      </c>
      <c r="K415" s="145" t="s">
        <v>88</v>
      </c>
      <c r="L415" s="146" t="s">
        <v>6</v>
      </c>
      <c r="M415" s="57"/>
    </row>
    <row r="416" spans="1:13" ht="30" customHeight="1" x14ac:dyDescent="0.25">
      <c r="A416" s="45"/>
      <c r="B416" s="227"/>
      <c r="C416" s="99"/>
      <c r="D416" s="101">
        <v>2019</v>
      </c>
      <c r="E416" s="102">
        <f t="shared" si="39"/>
        <v>3490.8</v>
      </c>
      <c r="F416" s="102">
        <v>0</v>
      </c>
      <c r="G416" s="102">
        <v>1650.3</v>
      </c>
      <c r="H416" s="102">
        <v>1840.5</v>
      </c>
      <c r="I416" s="102">
        <v>1650.5</v>
      </c>
      <c r="J416" s="102">
        <v>0</v>
      </c>
      <c r="K416" s="103"/>
      <c r="L416" s="149"/>
      <c r="M416" s="57"/>
    </row>
    <row r="417" spans="1:13" ht="30" customHeight="1" x14ac:dyDescent="0.25">
      <c r="A417" s="45"/>
      <c r="B417" s="227"/>
      <c r="C417" s="99"/>
      <c r="D417" s="104">
        <v>2020</v>
      </c>
      <c r="E417" s="102">
        <f t="shared" si="39"/>
        <v>133</v>
      </c>
      <c r="F417" s="120">
        <v>0</v>
      </c>
      <c r="G417" s="102">
        <v>0</v>
      </c>
      <c r="H417" s="102">
        <v>133</v>
      </c>
      <c r="I417" s="102">
        <v>0</v>
      </c>
      <c r="J417" s="102">
        <v>0</v>
      </c>
      <c r="K417" s="103"/>
      <c r="L417" s="149"/>
      <c r="M417" s="57"/>
    </row>
    <row r="418" spans="1:13" ht="30" customHeight="1" x14ac:dyDescent="0.25">
      <c r="A418" s="45"/>
      <c r="B418" s="227"/>
      <c r="C418" s="99"/>
      <c r="D418" s="104">
        <v>2021</v>
      </c>
      <c r="E418" s="102">
        <f t="shared" si="39"/>
        <v>0</v>
      </c>
      <c r="F418" s="120">
        <v>0</v>
      </c>
      <c r="G418" s="102">
        <v>0</v>
      </c>
      <c r="H418" s="102">
        <v>0</v>
      </c>
      <c r="I418" s="102">
        <v>0</v>
      </c>
      <c r="J418" s="102">
        <v>0</v>
      </c>
      <c r="K418" s="103"/>
      <c r="L418" s="149"/>
      <c r="M418" s="57"/>
    </row>
    <row r="419" spans="1:13" ht="30" customHeight="1" x14ac:dyDescent="0.25">
      <c r="A419" s="45"/>
      <c r="B419" s="227"/>
      <c r="C419" s="99"/>
      <c r="D419" s="104">
        <v>2022</v>
      </c>
      <c r="E419" s="102">
        <f t="shared" si="39"/>
        <v>50</v>
      </c>
      <c r="F419" s="120">
        <v>0</v>
      </c>
      <c r="G419" s="102">
        <v>0</v>
      </c>
      <c r="H419" s="102">
        <f>180.5-80.5-50</f>
        <v>50</v>
      </c>
      <c r="I419" s="102">
        <v>0</v>
      </c>
      <c r="J419" s="102">
        <v>0</v>
      </c>
      <c r="K419" s="103"/>
      <c r="L419" s="149"/>
      <c r="M419" s="57"/>
    </row>
    <row r="420" spans="1:13" ht="30" customHeight="1" x14ac:dyDescent="0.25">
      <c r="A420" s="45"/>
      <c r="B420" s="227"/>
      <c r="C420" s="99"/>
      <c r="D420" s="104">
        <v>2023</v>
      </c>
      <c r="E420" s="102">
        <f t="shared" si="39"/>
        <v>0</v>
      </c>
      <c r="F420" s="120">
        <v>0</v>
      </c>
      <c r="G420" s="102">
        <v>0</v>
      </c>
      <c r="H420" s="102">
        <v>0</v>
      </c>
      <c r="I420" s="102">
        <v>0</v>
      </c>
      <c r="J420" s="102">
        <v>0</v>
      </c>
      <c r="K420" s="103"/>
      <c r="L420" s="149"/>
      <c r="M420" s="57"/>
    </row>
    <row r="421" spans="1:13" ht="30" customHeight="1" x14ac:dyDescent="0.25">
      <c r="A421" s="45"/>
      <c r="B421" s="227"/>
      <c r="C421" s="99"/>
      <c r="D421" s="104">
        <v>2024</v>
      </c>
      <c r="E421" s="102">
        <f t="shared" si="39"/>
        <v>0</v>
      </c>
      <c r="F421" s="120">
        <v>0</v>
      </c>
      <c r="G421" s="102">
        <v>0</v>
      </c>
      <c r="H421" s="121">
        <v>0</v>
      </c>
      <c r="I421" s="102">
        <v>0</v>
      </c>
      <c r="J421" s="102">
        <v>0</v>
      </c>
      <c r="K421" s="103"/>
      <c r="L421" s="149"/>
      <c r="M421" s="57"/>
    </row>
    <row r="422" spans="1:13" ht="30" customHeight="1" x14ac:dyDescent="0.25">
      <c r="A422" s="45"/>
      <c r="B422" s="227"/>
      <c r="C422" s="99"/>
      <c r="D422" s="104">
        <v>2025</v>
      </c>
      <c r="E422" s="102">
        <f t="shared" ref="E422:E424" si="46">F422+G422+H422+J422</f>
        <v>0</v>
      </c>
      <c r="F422" s="120">
        <v>0</v>
      </c>
      <c r="G422" s="102">
        <v>0</v>
      </c>
      <c r="H422" s="102">
        <v>0</v>
      </c>
      <c r="I422" s="102">
        <v>0</v>
      </c>
      <c r="J422" s="102">
        <v>0</v>
      </c>
      <c r="K422" s="103"/>
      <c r="L422" s="149"/>
      <c r="M422" s="57"/>
    </row>
    <row r="423" spans="1:13" ht="30" customHeight="1" x14ac:dyDescent="0.25">
      <c r="A423" s="46"/>
      <c r="B423" s="228"/>
      <c r="C423" s="107"/>
      <c r="D423" s="108">
        <v>2026</v>
      </c>
      <c r="E423" s="102">
        <f t="shared" si="46"/>
        <v>0</v>
      </c>
      <c r="F423" s="120">
        <v>0</v>
      </c>
      <c r="G423" s="102">
        <v>0</v>
      </c>
      <c r="H423" s="102">
        <v>0</v>
      </c>
      <c r="I423" s="102">
        <v>0</v>
      </c>
      <c r="J423" s="102">
        <v>0</v>
      </c>
      <c r="K423" s="109"/>
      <c r="L423" s="156"/>
      <c r="M423" s="57"/>
    </row>
    <row r="424" spans="1:13" ht="30" customHeight="1" thickBot="1" x14ac:dyDescent="0.3">
      <c r="A424" s="47"/>
      <c r="B424" s="229"/>
      <c r="C424" s="111"/>
      <c r="D424" s="122">
        <v>2027</v>
      </c>
      <c r="E424" s="201">
        <f t="shared" si="46"/>
        <v>0</v>
      </c>
      <c r="F424" s="202">
        <v>0</v>
      </c>
      <c r="G424" s="201">
        <v>0</v>
      </c>
      <c r="H424" s="201">
        <v>0</v>
      </c>
      <c r="I424" s="201">
        <v>0</v>
      </c>
      <c r="J424" s="201">
        <v>0</v>
      </c>
      <c r="K424" s="114"/>
      <c r="L424" s="160"/>
      <c r="M424" s="57"/>
    </row>
    <row r="425" spans="1:13" ht="23.1" customHeight="1" x14ac:dyDescent="0.25">
      <c r="A425" s="48" t="s">
        <v>89</v>
      </c>
      <c r="B425" s="226" t="s">
        <v>90</v>
      </c>
      <c r="C425" s="141" t="e">
        <f>#REF!+#REF!+#REF!+#REF!+#REF!+#REF!+#REF!+#REF!</f>
        <v>#REF!</v>
      </c>
      <c r="D425" s="143">
        <v>2018</v>
      </c>
      <c r="E425" s="144">
        <f t="shared" si="39"/>
        <v>0</v>
      </c>
      <c r="F425" s="144">
        <v>0</v>
      </c>
      <c r="G425" s="144">
        <v>0</v>
      </c>
      <c r="H425" s="144">
        <v>0</v>
      </c>
      <c r="I425" s="144">
        <v>0</v>
      </c>
      <c r="J425" s="144">
        <v>0</v>
      </c>
      <c r="K425" s="145" t="s">
        <v>91</v>
      </c>
      <c r="L425" s="146" t="s">
        <v>6</v>
      </c>
      <c r="M425" s="57"/>
    </row>
    <row r="426" spans="1:13" ht="23.1" customHeight="1" x14ac:dyDescent="0.25">
      <c r="A426" s="45"/>
      <c r="B426" s="227"/>
      <c r="C426" s="99"/>
      <c r="D426" s="101">
        <v>2019</v>
      </c>
      <c r="E426" s="102">
        <f t="shared" si="39"/>
        <v>0</v>
      </c>
      <c r="F426" s="102">
        <v>0</v>
      </c>
      <c r="G426" s="102">
        <v>0</v>
      </c>
      <c r="H426" s="102">
        <v>0</v>
      </c>
      <c r="I426" s="102">
        <v>0</v>
      </c>
      <c r="J426" s="102">
        <v>0</v>
      </c>
      <c r="K426" s="103"/>
      <c r="L426" s="149"/>
      <c r="M426" s="57"/>
    </row>
    <row r="427" spans="1:13" ht="23.1" customHeight="1" x14ac:dyDescent="0.25">
      <c r="A427" s="45"/>
      <c r="B427" s="227"/>
      <c r="C427" s="99"/>
      <c r="D427" s="104">
        <v>2020</v>
      </c>
      <c r="E427" s="102">
        <f t="shared" si="39"/>
        <v>0</v>
      </c>
      <c r="F427" s="120">
        <v>0</v>
      </c>
      <c r="G427" s="102">
        <v>0</v>
      </c>
      <c r="H427" s="102">
        <v>0</v>
      </c>
      <c r="I427" s="102">
        <v>0</v>
      </c>
      <c r="J427" s="102">
        <v>0</v>
      </c>
      <c r="K427" s="103"/>
      <c r="L427" s="149"/>
      <c r="M427" s="57"/>
    </row>
    <row r="428" spans="1:13" ht="23.1" customHeight="1" x14ac:dyDescent="0.25">
      <c r="A428" s="45"/>
      <c r="B428" s="227"/>
      <c r="C428" s="99"/>
      <c r="D428" s="104">
        <v>2021</v>
      </c>
      <c r="E428" s="102">
        <f t="shared" si="39"/>
        <v>0</v>
      </c>
      <c r="F428" s="120">
        <v>0</v>
      </c>
      <c r="G428" s="102">
        <v>0</v>
      </c>
      <c r="H428" s="102">
        <v>0</v>
      </c>
      <c r="I428" s="102">
        <v>0</v>
      </c>
      <c r="J428" s="102">
        <v>0</v>
      </c>
      <c r="K428" s="103"/>
      <c r="L428" s="149"/>
      <c r="M428" s="57"/>
    </row>
    <row r="429" spans="1:13" ht="23.1" customHeight="1" x14ac:dyDescent="0.25">
      <c r="A429" s="45"/>
      <c r="B429" s="227"/>
      <c r="C429" s="99"/>
      <c r="D429" s="104">
        <v>2022</v>
      </c>
      <c r="E429" s="102">
        <f t="shared" si="39"/>
        <v>7283.5</v>
      </c>
      <c r="F429" s="120">
        <v>0</v>
      </c>
      <c r="G429" s="102">
        <f>4018-3</f>
        <v>4015</v>
      </c>
      <c r="H429" s="102">
        <f>2978+292.8-2-0.3</f>
        <v>3268.5</v>
      </c>
      <c r="I429" s="102">
        <f>446.5-0.3</f>
        <v>446.2</v>
      </c>
      <c r="J429" s="102">
        <v>0</v>
      </c>
      <c r="K429" s="103"/>
      <c r="L429" s="149"/>
      <c r="M429" s="57"/>
    </row>
    <row r="430" spans="1:13" ht="23.1" customHeight="1" x14ac:dyDescent="0.25">
      <c r="A430" s="45"/>
      <c r="B430" s="227"/>
      <c r="C430" s="99"/>
      <c r="D430" s="104">
        <v>2023</v>
      </c>
      <c r="E430" s="102">
        <f t="shared" si="39"/>
        <v>0</v>
      </c>
      <c r="F430" s="120">
        <v>0</v>
      </c>
      <c r="G430" s="102">
        <v>0</v>
      </c>
      <c r="H430" s="102">
        <v>0</v>
      </c>
      <c r="I430" s="102">
        <v>0</v>
      </c>
      <c r="J430" s="102">
        <v>0</v>
      </c>
      <c r="K430" s="103"/>
      <c r="L430" s="149"/>
      <c r="M430" s="57"/>
    </row>
    <row r="431" spans="1:13" ht="23.1" customHeight="1" x14ac:dyDescent="0.25">
      <c r="A431" s="45"/>
      <c r="B431" s="227"/>
      <c r="C431" s="99"/>
      <c r="D431" s="104">
        <v>2024</v>
      </c>
      <c r="E431" s="102">
        <f t="shared" si="39"/>
        <v>0</v>
      </c>
      <c r="F431" s="120">
        <v>0</v>
      </c>
      <c r="G431" s="102">
        <v>0</v>
      </c>
      <c r="H431" s="121">
        <v>0</v>
      </c>
      <c r="I431" s="121">
        <v>0</v>
      </c>
      <c r="J431" s="102">
        <v>0</v>
      </c>
      <c r="K431" s="103"/>
      <c r="L431" s="149"/>
      <c r="M431" s="57"/>
    </row>
    <row r="432" spans="1:13" ht="23.1" customHeight="1" x14ac:dyDescent="0.25">
      <c r="A432" s="45"/>
      <c r="B432" s="227"/>
      <c r="C432" s="99"/>
      <c r="D432" s="104">
        <v>2025</v>
      </c>
      <c r="E432" s="102">
        <f t="shared" si="39"/>
        <v>0</v>
      </c>
      <c r="F432" s="120">
        <v>0</v>
      </c>
      <c r="G432" s="102">
        <v>0</v>
      </c>
      <c r="H432" s="121">
        <v>0</v>
      </c>
      <c r="I432" s="121">
        <v>0</v>
      </c>
      <c r="J432" s="102">
        <v>0</v>
      </c>
      <c r="K432" s="103"/>
      <c r="L432" s="149"/>
      <c r="M432" s="57"/>
    </row>
    <row r="433" spans="1:13" ht="23.1" customHeight="1" x14ac:dyDescent="0.25">
      <c r="A433" s="46"/>
      <c r="B433" s="228"/>
      <c r="C433" s="107"/>
      <c r="D433" s="104">
        <v>2026</v>
      </c>
      <c r="E433" s="102">
        <f t="shared" ref="E433" si="47">F433+G433+H433+J433</f>
        <v>0</v>
      </c>
      <c r="F433" s="120">
        <v>0</v>
      </c>
      <c r="G433" s="102">
        <v>0</v>
      </c>
      <c r="H433" s="121">
        <v>0</v>
      </c>
      <c r="I433" s="121">
        <v>0</v>
      </c>
      <c r="J433" s="102">
        <v>0</v>
      </c>
      <c r="K433" s="109"/>
      <c r="L433" s="156"/>
      <c r="M433" s="57"/>
    </row>
    <row r="434" spans="1:13" ht="23.1" customHeight="1" thickBot="1" x14ac:dyDescent="0.3">
      <c r="A434" s="47"/>
      <c r="B434" s="229"/>
      <c r="C434" s="111"/>
      <c r="D434" s="159">
        <v>2027</v>
      </c>
      <c r="E434" s="113">
        <f t="shared" si="39"/>
        <v>0</v>
      </c>
      <c r="F434" s="123">
        <v>0</v>
      </c>
      <c r="G434" s="113">
        <v>0</v>
      </c>
      <c r="H434" s="124">
        <v>0</v>
      </c>
      <c r="I434" s="124">
        <v>0</v>
      </c>
      <c r="J434" s="113">
        <v>0</v>
      </c>
      <c r="K434" s="114"/>
      <c r="L434" s="160"/>
      <c r="M434" s="57"/>
    </row>
    <row r="435" spans="1:13" ht="21" customHeight="1" x14ac:dyDescent="0.25">
      <c r="A435" s="48" t="s">
        <v>92</v>
      </c>
      <c r="B435" s="226" t="s">
        <v>93</v>
      </c>
      <c r="C435" s="141" t="e">
        <f>#REF!+#REF!+#REF!+#REF!+#REF!+#REF!+#REF!+#REF!</f>
        <v>#REF!</v>
      </c>
      <c r="D435" s="143">
        <v>2018</v>
      </c>
      <c r="E435" s="144">
        <f t="shared" si="39"/>
        <v>2756.1</v>
      </c>
      <c r="F435" s="144">
        <v>0</v>
      </c>
      <c r="G435" s="144">
        <v>0</v>
      </c>
      <c r="H435" s="144">
        <v>2756.1</v>
      </c>
      <c r="I435" s="144">
        <v>0</v>
      </c>
      <c r="J435" s="144">
        <v>0</v>
      </c>
      <c r="K435" s="145" t="s">
        <v>94</v>
      </c>
      <c r="L435" s="146" t="s">
        <v>31</v>
      </c>
      <c r="M435" s="57"/>
    </row>
    <row r="436" spans="1:13" ht="21" customHeight="1" x14ac:dyDescent="0.25">
      <c r="A436" s="45"/>
      <c r="B436" s="227"/>
      <c r="C436" s="99"/>
      <c r="D436" s="101">
        <v>2019</v>
      </c>
      <c r="E436" s="102">
        <f t="shared" ref="E436:E515" si="48">F436+G436+H436+J436</f>
        <v>1148.3</v>
      </c>
      <c r="F436" s="102">
        <v>0</v>
      </c>
      <c r="G436" s="102">
        <v>0</v>
      </c>
      <c r="H436" s="102">
        <v>1148.3</v>
      </c>
      <c r="I436" s="102">
        <v>0</v>
      </c>
      <c r="J436" s="102">
        <v>0</v>
      </c>
      <c r="K436" s="103"/>
      <c r="L436" s="149"/>
      <c r="M436" s="57"/>
    </row>
    <row r="437" spans="1:13" ht="21" customHeight="1" x14ac:dyDescent="0.25">
      <c r="A437" s="45"/>
      <c r="B437" s="227"/>
      <c r="C437" s="99"/>
      <c r="D437" s="104">
        <v>2020</v>
      </c>
      <c r="E437" s="102">
        <f t="shared" si="48"/>
        <v>0</v>
      </c>
      <c r="F437" s="120">
        <v>0</v>
      </c>
      <c r="G437" s="102">
        <v>0</v>
      </c>
      <c r="H437" s="102">
        <v>0</v>
      </c>
      <c r="I437" s="102">
        <v>0</v>
      </c>
      <c r="J437" s="102">
        <v>0</v>
      </c>
      <c r="K437" s="103"/>
      <c r="L437" s="149"/>
      <c r="M437" s="57"/>
    </row>
    <row r="438" spans="1:13" ht="21" customHeight="1" x14ac:dyDescent="0.25">
      <c r="A438" s="45"/>
      <c r="B438" s="227"/>
      <c r="C438" s="99"/>
      <c r="D438" s="104">
        <v>2021</v>
      </c>
      <c r="E438" s="102">
        <f t="shared" si="48"/>
        <v>0</v>
      </c>
      <c r="F438" s="120">
        <v>0</v>
      </c>
      <c r="G438" s="102">
        <v>0</v>
      </c>
      <c r="H438" s="102">
        <v>0</v>
      </c>
      <c r="I438" s="102">
        <v>0</v>
      </c>
      <c r="J438" s="102">
        <v>0</v>
      </c>
      <c r="K438" s="103"/>
      <c r="L438" s="149"/>
      <c r="M438" s="57"/>
    </row>
    <row r="439" spans="1:13" ht="21" customHeight="1" x14ac:dyDescent="0.25">
      <c r="A439" s="45"/>
      <c r="B439" s="227"/>
      <c r="C439" s="99"/>
      <c r="D439" s="104">
        <v>2022</v>
      </c>
      <c r="E439" s="102">
        <f t="shared" si="48"/>
        <v>0</v>
      </c>
      <c r="F439" s="120">
        <v>0</v>
      </c>
      <c r="G439" s="102">
        <v>0</v>
      </c>
      <c r="H439" s="102">
        <v>0</v>
      </c>
      <c r="I439" s="102">
        <v>0</v>
      </c>
      <c r="J439" s="102">
        <v>0</v>
      </c>
      <c r="K439" s="103"/>
      <c r="L439" s="149"/>
      <c r="M439" s="57"/>
    </row>
    <row r="440" spans="1:13" ht="21" customHeight="1" x14ac:dyDescent="0.25">
      <c r="A440" s="45"/>
      <c r="B440" s="227"/>
      <c r="C440" s="99"/>
      <c r="D440" s="104">
        <v>2023</v>
      </c>
      <c r="E440" s="102">
        <f t="shared" si="48"/>
        <v>0</v>
      </c>
      <c r="F440" s="120">
        <v>0</v>
      </c>
      <c r="G440" s="102">
        <v>0</v>
      </c>
      <c r="H440" s="102">
        <v>0</v>
      </c>
      <c r="I440" s="102">
        <v>0</v>
      </c>
      <c r="J440" s="102">
        <v>0</v>
      </c>
      <c r="K440" s="103"/>
      <c r="L440" s="149"/>
      <c r="M440" s="57"/>
    </row>
    <row r="441" spans="1:13" ht="21" customHeight="1" x14ac:dyDescent="0.25">
      <c r="A441" s="45"/>
      <c r="B441" s="227"/>
      <c r="C441" s="99"/>
      <c r="D441" s="104">
        <v>2024</v>
      </c>
      <c r="E441" s="102">
        <f t="shared" si="48"/>
        <v>0</v>
      </c>
      <c r="F441" s="120">
        <v>0</v>
      </c>
      <c r="G441" s="102">
        <v>0</v>
      </c>
      <c r="H441" s="102">
        <v>0</v>
      </c>
      <c r="I441" s="102">
        <v>0</v>
      </c>
      <c r="J441" s="102">
        <v>0</v>
      </c>
      <c r="K441" s="103"/>
      <c r="L441" s="149"/>
      <c r="M441" s="57"/>
    </row>
    <row r="442" spans="1:13" ht="21" customHeight="1" x14ac:dyDescent="0.25">
      <c r="A442" s="45"/>
      <c r="B442" s="227"/>
      <c r="C442" s="99"/>
      <c r="D442" s="104">
        <v>2025</v>
      </c>
      <c r="E442" s="102">
        <f t="shared" si="48"/>
        <v>0</v>
      </c>
      <c r="F442" s="120">
        <v>0</v>
      </c>
      <c r="G442" s="102">
        <v>0</v>
      </c>
      <c r="H442" s="102">
        <v>0</v>
      </c>
      <c r="I442" s="102">
        <v>0</v>
      </c>
      <c r="J442" s="102">
        <v>0</v>
      </c>
      <c r="K442" s="103"/>
      <c r="L442" s="149"/>
      <c r="M442" s="57"/>
    </row>
    <row r="443" spans="1:13" ht="21" customHeight="1" x14ac:dyDescent="0.25">
      <c r="A443" s="46"/>
      <c r="B443" s="228"/>
      <c r="C443" s="107"/>
      <c r="D443" s="104">
        <v>2026</v>
      </c>
      <c r="E443" s="102">
        <f t="shared" ref="E443" si="49">F443+G443+H443+J443</f>
        <v>0</v>
      </c>
      <c r="F443" s="120">
        <v>0</v>
      </c>
      <c r="G443" s="102">
        <v>0</v>
      </c>
      <c r="H443" s="102">
        <v>0</v>
      </c>
      <c r="I443" s="102">
        <v>0</v>
      </c>
      <c r="J443" s="102">
        <v>0</v>
      </c>
      <c r="K443" s="109"/>
      <c r="L443" s="156"/>
      <c r="M443" s="57"/>
    </row>
    <row r="444" spans="1:13" ht="21" customHeight="1" thickBot="1" x14ac:dyDescent="0.3">
      <c r="A444" s="47"/>
      <c r="B444" s="229"/>
      <c r="C444" s="111"/>
      <c r="D444" s="159">
        <v>2027</v>
      </c>
      <c r="E444" s="113">
        <f t="shared" si="48"/>
        <v>0</v>
      </c>
      <c r="F444" s="123">
        <v>0</v>
      </c>
      <c r="G444" s="113">
        <v>0</v>
      </c>
      <c r="H444" s="113">
        <v>0</v>
      </c>
      <c r="I444" s="113">
        <v>0</v>
      </c>
      <c r="J444" s="113">
        <v>0</v>
      </c>
      <c r="K444" s="114"/>
      <c r="L444" s="160"/>
      <c r="M444" s="57"/>
    </row>
    <row r="445" spans="1:13" ht="27" customHeight="1" x14ac:dyDescent="0.25">
      <c r="A445" s="48" t="s">
        <v>95</v>
      </c>
      <c r="B445" s="226" t="s">
        <v>96</v>
      </c>
      <c r="C445" s="141" t="e">
        <f>#REF!+#REF!+#REF!+#REF!+#REF!+#REF!+#REF!+#REF!</f>
        <v>#REF!</v>
      </c>
      <c r="D445" s="143">
        <v>2018</v>
      </c>
      <c r="E445" s="144">
        <f t="shared" si="48"/>
        <v>0</v>
      </c>
      <c r="F445" s="144">
        <v>0</v>
      </c>
      <c r="G445" s="144">
        <v>0</v>
      </c>
      <c r="H445" s="144">
        <v>0</v>
      </c>
      <c r="I445" s="144">
        <v>0</v>
      </c>
      <c r="J445" s="144">
        <v>0</v>
      </c>
      <c r="K445" s="145" t="s">
        <v>183</v>
      </c>
      <c r="L445" s="146" t="s">
        <v>31</v>
      </c>
      <c r="M445" s="57"/>
    </row>
    <row r="446" spans="1:13" ht="27" customHeight="1" x14ac:dyDescent="0.25">
      <c r="A446" s="45"/>
      <c r="B446" s="227"/>
      <c r="C446" s="99"/>
      <c r="D446" s="101">
        <v>2019</v>
      </c>
      <c r="E446" s="102">
        <f t="shared" si="48"/>
        <v>0</v>
      </c>
      <c r="F446" s="102">
        <v>0</v>
      </c>
      <c r="G446" s="102">
        <v>0</v>
      </c>
      <c r="H446" s="102">
        <v>0</v>
      </c>
      <c r="I446" s="102">
        <v>0</v>
      </c>
      <c r="J446" s="102">
        <v>0</v>
      </c>
      <c r="K446" s="103"/>
      <c r="L446" s="149"/>
      <c r="M446" s="57"/>
    </row>
    <row r="447" spans="1:13" ht="27" customHeight="1" x14ac:dyDescent="0.25">
      <c r="A447" s="45"/>
      <c r="B447" s="227"/>
      <c r="C447" s="99"/>
      <c r="D447" s="104">
        <v>2020</v>
      </c>
      <c r="E447" s="102">
        <f t="shared" si="48"/>
        <v>1575.9</v>
      </c>
      <c r="F447" s="120">
        <v>0</v>
      </c>
      <c r="G447" s="102">
        <v>0</v>
      </c>
      <c r="H447" s="102">
        <v>1575.9</v>
      </c>
      <c r="I447" s="102">
        <v>0</v>
      </c>
      <c r="J447" s="102">
        <v>0</v>
      </c>
      <c r="K447" s="103"/>
      <c r="L447" s="149"/>
      <c r="M447" s="57"/>
    </row>
    <row r="448" spans="1:13" ht="27" customHeight="1" x14ac:dyDescent="0.25">
      <c r="A448" s="45"/>
      <c r="B448" s="227"/>
      <c r="C448" s="99"/>
      <c r="D448" s="104">
        <v>2021</v>
      </c>
      <c r="E448" s="102">
        <f t="shared" si="48"/>
        <v>1613.8</v>
      </c>
      <c r="F448" s="120">
        <v>0</v>
      </c>
      <c r="G448" s="102">
        <v>0</v>
      </c>
      <c r="H448" s="102">
        <v>1613.8</v>
      </c>
      <c r="I448" s="102">
        <v>0</v>
      </c>
      <c r="J448" s="102">
        <v>0</v>
      </c>
      <c r="K448" s="103"/>
      <c r="L448" s="149"/>
      <c r="M448" s="57"/>
    </row>
    <row r="449" spans="1:13" ht="27" customHeight="1" x14ac:dyDescent="0.25">
      <c r="A449" s="45"/>
      <c r="B449" s="227"/>
      <c r="C449" s="99"/>
      <c r="D449" s="104">
        <v>2022</v>
      </c>
      <c r="E449" s="102">
        <f t="shared" si="48"/>
        <v>1505.8999999999999</v>
      </c>
      <c r="F449" s="120">
        <v>0</v>
      </c>
      <c r="G449" s="102">
        <v>0</v>
      </c>
      <c r="H449" s="102">
        <f>1667.1-46.5-114.7</f>
        <v>1505.8999999999999</v>
      </c>
      <c r="I449" s="102">
        <v>0</v>
      </c>
      <c r="J449" s="102">
        <v>0</v>
      </c>
      <c r="K449" s="103"/>
      <c r="L449" s="149"/>
      <c r="M449" s="57"/>
    </row>
    <row r="450" spans="1:13" ht="27" customHeight="1" x14ac:dyDescent="0.25">
      <c r="A450" s="45"/>
      <c r="B450" s="227"/>
      <c r="C450" s="99"/>
      <c r="D450" s="104">
        <v>2023</v>
      </c>
      <c r="E450" s="102">
        <f t="shared" si="48"/>
        <v>1273.0999999999999</v>
      </c>
      <c r="F450" s="120">
        <v>0</v>
      </c>
      <c r="G450" s="102">
        <v>0</v>
      </c>
      <c r="H450" s="102">
        <f>1710.3-214.9-84-138.3</f>
        <v>1273.0999999999999</v>
      </c>
      <c r="I450" s="102">
        <v>0</v>
      </c>
      <c r="J450" s="102">
        <v>0</v>
      </c>
      <c r="K450" s="103"/>
      <c r="L450" s="149"/>
      <c r="M450" s="57"/>
    </row>
    <row r="451" spans="1:13" ht="27" customHeight="1" x14ac:dyDescent="0.25">
      <c r="A451" s="45"/>
      <c r="B451" s="227"/>
      <c r="C451" s="99"/>
      <c r="D451" s="104">
        <v>2024</v>
      </c>
      <c r="E451" s="102">
        <f t="shared" si="48"/>
        <v>1733.4</v>
      </c>
      <c r="F451" s="120">
        <v>0</v>
      </c>
      <c r="G451" s="102">
        <v>0</v>
      </c>
      <c r="H451" s="121">
        <f>1835.4-45-57</f>
        <v>1733.4</v>
      </c>
      <c r="I451" s="102">
        <v>0</v>
      </c>
      <c r="J451" s="102">
        <v>0</v>
      </c>
      <c r="K451" s="103"/>
      <c r="L451" s="149"/>
      <c r="M451" s="57"/>
    </row>
    <row r="452" spans="1:13" ht="27" customHeight="1" x14ac:dyDescent="0.25">
      <c r="A452" s="45"/>
      <c r="B452" s="227"/>
      <c r="C452" s="99"/>
      <c r="D452" s="104">
        <v>2025</v>
      </c>
      <c r="E452" s="102">
        <f t="shared" si="48"/>
        <v>3660.2</v>
      </c>
      <c r="F452" s="120">
        <v>0</v>
      </c>
      <c r="G452" s="102">
        <v>0</v>
      </c>
      <c r="H452" s="121">
        <v>3660.2</v>
      </c>
      <c r="I452" s="102">
        <v>0</v>
      </c>
      <c r="J452" s="102">
        <v>0</v>
      </c>
      <c r="K452" s="103"/>
      <c r="L452" s="149"/>
      <c r="M452" s="57"/>
    </row>
    <row r="453" spans="1:13" ht="27" customHeight="1" x14ac:dyDescent="0.25">
      <c r="A453" s="46"/>
      <c r="B453" s="228"/>
      <c r="C453" s="107"/>
      <c r="D453" s="108">
        <v>2026</v>
      </c>
      <c r="E453" s="102">
        <f t="shared" ref="E453" si="50">F453+G453+H453+J453</f>
        <v>3660.2</v>
      </c>
      <c r="F453" s="120">
        <v>0</v>
      </c>
      <c r="G453" s="102">
        <v>0</v>
      </c>
      <c r="H453" s="121">
        <v>3660.2</v>
      </c>
      <c r="I453" s="102">
        <v>0</v>
      </c>
      <c r="J453" s="102">
        <v>0</v>
      </c>
      <c r="K453" s="109"/>
      <c r="L453" s="156"/>
      <c r="M453" s="57"/>
    </row>
    <row r="454" spans="1:13" ht="27" customHeight="1" thickBot="1" x14ac:dyDescent="0.3">
      <c r="A454" s="46"/>
      <c r="B454" s="228"/>
      <c r="C454" s="107"/>
      <c r="D454" s="108">
        <v>2027</v>
      </c>
      <c r="E454" s="232">
        <f t="shared" si="48"/>
        <v>3660.2</v>
      </c>
      <c r="F454" s="233">
        <v>0</v>
      </c>
      <c r="G454" s="232">
        <v>0</v>
      </c>
      <c r="H454" s="234">
        <v>3660.2</v>
      </c>
      <c r="I454" s="232">
        <v>0</v>
      </c>
      <c r="J454" s="232">
        <v>0</v>
      </c>
      <c r="K454" s="109"/>
      <c r="L454" s="156"/>
      <c r="M454" s="57"/>
    </row>
    <row r="455" spans="1:13" ht="21" customHeight="1" x14ac:dyDescent="0.25">
      <c r="A455" s="16" t="s">
        <v>97</v>
      </c>
      <c r="B455" s="235" t="s">
        <v>98</v>
      </c>
      <c r="C455" s="141" t="e">
        <f>#REF!+#REF!+#REF!+#REF!+#REF!+#REF!+#REF!+#REF!</f>
        <v>#REF!</v>
      </c>
      <c r="D455" s="143">
        <v>2018</v>
      </c>
      <c r="E455" s="144">
        <f t="shared" si="48"/>
        <v>20.9</v>
      </c>
      <c r="F455" s="144">
        <v>0</v>
      </c>
      <c r="G455" s="144">
        <v>0</v>
      </c>
      <c r="H455" s="144">
        <v>20.9</v>
      </c>
      <c r="I455" s="144">
        <v>0</v>
      </c>
      <c r="J455" s="144">
        <v>0</v>
      </c>
      <c r="K455" s="145" t="s">
        <v>99</v>
      </c>
      <c r="L455" s="146" t="s">
        <v>31</v>
      </c>
      <c r="M455" s="57"/>
    </row>
    <row r="456" spans="1:13" ht="21" customHeight="1" x14ac:dyDescent="0.25">
      <c r="A456" s="17"/>
      <c r="B456" s="236"/>
      <c r="C456" s="99"/>
      <c r="D456" s="101">
        <v>2019</v>
      </c>
      <c r="E456" s="102">
        <f t="shared" si="48"/>
        <v>0</v>
      </c>
      <c r="F456" s="102">
        <v>0</v>
      </c>
      <c r="G456" s="102">
        <v>0</v>
      </c>
      <c r="H456" s="102">
        <v>0</v>
      </c>
      <c r="I456" s="102">
        <v>0</v>
      </c>
      <c r="J456" s="102">
        <v>0</v>
      </c>
      <c r="K456" s="103"/>
      <c r="L456" s="149"/>
      <c r="M456" s="57"/>
    </row>
    <row r="457" spans="1:13" ht="21" customHeight="1" x14ac:dyDescent="0.25">
      <c r="A457" s="17"/>
      <c r="B457" s="236"/>
      <c r="C457" s="99"/>
      <c r="D457" s="104">
        <v>2020</v>
      </c>
      <c r="E457" s="102">
        <f t="shared" si="48"/>
        <v>0</v>
      </c>
      <c r="F457" s="120">
        <v>0</v>
      </c>
      <c r="G457" s="102">
        <v>0</v>
      </c>
      <c r="H457" s="102">
        <v>0</v>
      </c>
      <c r="I457" s="102">
        <v>0</v>
      </c>
      <c r="J457" s="102">
        <v>0</v>
      </c>
      <c r="K457" s="103"/>
      <c r="L457" s="149"/>
      <c r="M457" s="57"/>
    </row>
    <row r="458" spans="1:13" ht="21" customHeight="1" x14ac:dyDescent="0.25">
      <c r="A458" s="17"/>
      <c r="B458" s="236"/>
      <c r="C458" s="99"/>
      <c r="D458" s="104">
        <v>2021</v>
      </c>
      <c r="E458" s="102">
        <f t="shared" si="48"/>
        <v>0</v>
      </c>
      <c r="F458" s="120">
        <v>0</v>
      </c>
      <c r="G458" s="102">
        <v>0</v>
      </c>
      <c r="H458" s="102">
        <v>0</v>
      </c>
      <c r="I458" s="102">
        <v>0</v>
      </c>
      <c r="J458" s="102">
        <v>0</v>
      </c>
      <c r="K458" s="103"/>
      <c r="L458" s="149"/>
      <c r="M458" s="57"/>
    </row>
    <row r="459" spans="1:13" ht="21" customHeight="1" x14ac:dyDescent="0.25">
      <c r="A459" s="17"/>
      <c r="B459" s="236"/>
      <c r="C459" s="99"/>
      <c r="D459" s="104">
        <v>2022</v>
      </c>
      <c r="E459" s="102">
        <f t="shared" si="48"/>
        <v>0</v>
      </c>
      <c r="F459" s="120">
        <v>0</v>
      </c>
      <c r="G459" s="102">
        <v>0</v>
      </c>
      <c r="H459" s="102">
        <v>0</v>
      </c>
      <c r="I459" s="102">
        <v>0</v>
      </c>
      <c r="J459" s="102">
        <v>0</v>
      </c>
      <c r="K459" s="103"/>
      <c r="L459" s="149"/>
      <c r="M459" s="57"/>
    </row>
    <row r="460" spans="1:13" ht="21" customHeight="1" x14ac:dyDescent="0.25">
      <c r="A460" s="17"/>
      <c r="B460" s="236"/>
      <c r="C460" s="99"/>
      <c r="D460" s="104">
        <v>2023</v>
      </c>
      <c r="E460" s="102">
        <f t="shared" si="48"/>
        <v>0</v>
      </c>
      <c r="F460" s="120">
        <v>0</v>
      </c>
      <c r="G460" s="102">
        <v>0</v>
      </c>
      <c r="H460" s="102">
        <v>0</v>
      </c>
      <c r="I460" s="102">
        <v>0</v>
      </c>
      <c r="J460" s="102">
        <v>0</v>
      </c>
      <c r="K460" s="103"/>
      <c r="L460" s="149"/>
      <c r="M460" s="57"/>
    </row>
    <row r="461" spans="1:13" ht="21" customHeight="1" x14ac:dyDescent="0.25">
      <c r="A461" s="17"/>
      <c r="B461" s="236"/>
      <c r="C461" s="99"/>
      <c r="D461" s="104">
        <v>2024</v>
      </c>
      <c r="E461" s="102">
        <f t="shared" si="48"/>
        <v>0</v>
      </c>
      <c r="F461" s="120">
        <v>0</v>
      </c>
      <c r="G461" s="102">
        <v>0</v>
      </c>
      <c r="H461" s="102">
        <v>0</v>
      </c>
      <c r="I461" s="102">
        <v>0</v>
      </c>
      <c r="J461" s="102">
        <v>0</v>
      </c>
      <c r="K461" s="103"/>
      <c r="L461" s="149"/>
      <c r="M461" s="57"/>
    </row>
    <row r="462" spans="1:13" ht="21" customHeight="1" x14ac:dyDescent="0.25">
      <c r="A462" s="17"/>
      <c r="B462" s="236"/>
      <c r="C462" s="99"/>
      <c r="D462" s="104">
        <v>2025</v>
      </c>
      <c r="E462" s="102">
        <f t="shared" si="48"/>
        <v>0</v>
      </c>
      <c r="F462" s="120">
        <v>0</v>
      </c>
      <c r="G462" s="102">
        <v>0</v>
      </c>
      <c r="H462" s="102">
        <v>0</v>
      </c>
      <c r="I462" s="102">
        <v>0</v>
      </c>
      <c r="J462" s="102">
        <v>0</v>
      </c>
      <c r="K462" s="103"/>
      <c r="L462" s="149"/>
      <c r="M462" s="57"/>
    </row>
    <row r="463" spans="1:13" ht="21" customHeight="1" x14ac:dyDescent="0.25">
      <c r="A463" s="17"/>
      <c r="B463" s="236"/>
      <c r="C463" s="100"/>
      <c r="D463" s="104">
        <v>2026</v>
      </c>
      <c r="E463" s="102">
        <f t="shared" ref="E463" si="51">F463+G463+H463+J463</f>
        <v>0</v>
      </c>
      <c r="F463" s="120">
        <v>0</v>
      </c>
      <c r="G463" s="102">
        <v>0</v>
      </c>
      <c r="H463" s="102">
        <v>0</v>
      </c>
      <c r="I463" s="102">
        <v>0</v>
      </c>
      <c r="J463" s="102">
        <v>0</v>
      </c>
      <c r="K463" s="103"/>
      <c r="L463" s="149"/>
      <c r="M463" s="57"/>
    </row>
    <row r="464" spans="1:13" ht="21" customHeight="1" thickBot="1" x14ac:dyDescent="0.3">
      <c r="A464" s="18"/>
      <c r="B464" s="237"/>
      <c r="C464" s="111"/>
      <c r="D464" s="122">
        <v>2027</v>
      </c>
      <c r="E464" s="201">
        <f t="shared" si="48"/>
        <v>0</v>
      </c>
      <c r="F464" s="202">
        <v>0</v>
      </c>
      <c r="G464" s="201">
        <v>0</v>
      </c>
      <c r="H464" s="201">
        <v>0</v>
      </c>
      <c r="I464" s="201">
        <v>0</v>
      </c>
      <c r="J464" s="201">
        <v>0</v>
      </c>
      <c r="K464" s="114"/>
      <c r="L464" s="160"/>
      <c r="M464" s="57"/>
    </row>
    <row r="465" spans="1:13" ht="23.1" customHeight="1" x14ac:dyDescent="0.25">
      <c r="A465" s="44" t="s">
        <v>100</v>
      </c>
      <c r="B465" s="238" t="s">
        <v>101</v>
      </c>
      <c r="C465" s="115" t="e">
        <f>#REF!+#REF!+#REF!+#REF!+#REF!+#REF!+#REF!+#REF!</f>
        <v>#REF!</v>
      </c>
      <c r="D465" s="117">
        <v>2018</v>
      </c>
      <c r="E465" s="118">
        <f t="shared" si="48"/>
        <v>2800</v>
      </c>
      <c r="F465" s="118">
        <v>0</v>
      </c>
      <c r="G465" s="118">
        <v>2800</v>
      </c>
      <c r="H465" s="118">
        <v>0</v>
      </c>
      <c r="I465" s="118">
        <v>0</v>
      </c>
      <c r="J465" s="118">
        <v>0</v>
      </c>
      <c r="K465" s="119" t="s">
        <v>291</v>
      </c>
      <c r="L465" s="220" t="s">
        <v>102</v>
      </c>
      <c r="M465" s="57"/>
    </row>
    <row r="466" spans="1:13" ht="23.1" customHeight="1" x14ac:dyDescent="0.25">
      <c r="A466" s="45"/>
      <c r="B466" s="238"/>
      <c r="C466" s="99"/>
      <c r="D466" s="101">
        <v>2019</v>
      </c>
      <c r="E466" s="102">
        <f t="shared" si="48"/>
        <v>2900</v>
      </c>
      <c r="F466" s="102">
        <v>0</v>
      </c>
      <c r="G466" s="102">
        <v>2900</v>
      </c>
      <c r="H466" s="102">
        <v>0</v>
      </c>
      <c r="I466" s="102">
        <v>0</v>
      </c>
      <c r="J466" s="102">
        <v>0</v>
      </c>
      <c r="K466" s="103"/>
      <c r="L466" s="149"/>
      <c r="M466" s="57"/>
    </row>
    <row r="467" spans="1:13" ht="23.1" customHeight="1" x14ac:dyDescent="0.25">
      <c r="A467" s="45"/>
      <c r="B467" s="238"/>
      <c r="C467" s="99"/>
      <c r="D467" s="104">
        <v>2020</v>
      </c>
      <c r="E467" s="102">
        <f t="shared" si="48"/>
        <v>2361.5</v>
      </c>
      <c r="F467" s="120">
        <v>0</v>
      </c>
      <c r="G467" s="102">
        <v>2361.5</v>
      </c>
      <c r="H467" s="102">
        <v>0</v>
      </c>
      <c r="I467" s="102">
        <v>0</v>
      </c>
      <c r="J467" s="102">
        <v>0</v>
      </c>
      <c r="K467" s="103"/>
      <c r="L467" s="149"/>
      <c r="M467" s="57"/>
    </row>
    <row r="468" spans="1:13" ht="23.1" customHeight="1" x14ac:dyDescent="0.25">
      <c r="A468" s="45"/>
      <c r="B468" s="238"/>
      <c r="C468" s="99"/>
      <c r="D468" s="104">
        <v>2021</v>
      </c>
      <c r="E468" s="102">
        <f t="shared" si="48"/>
        <v>919.3</v>
      </c>
      <c r="F468" s="120">
        <v>0</v>
      </c>
      <c r="G468" s="102">
        <v>919.3</v>
      </c>
      <c r="H468" s="102">
        <v>0</v>
      </c>
      <c r="I468" s="102">
        <v>0</v>
      </c>
      <c r="J468" s="102">
        <v>0</v>
      </c>
      <c r="K468" s="103"/>
      <c r="L468" s="149"/>
      <c r="M468" s="57"/>
    </row>
    <row r="469" spans="1:13" ht="23.1" customHeight="1" x14ac:dyDescent="0.25">
      <c r="A469" s="45"/>
      <c r="B469" s="238"/>
      <c r="C469" s="99"/>
      <c r="D469" s="104">
        <v>2022</v>
      </c>
      <c r="E469" s="102">
        <f t="shared" si="48"/>
        <v>990.6</v>
      </c>
      <c r="F469" s="120">
        <v>0</v>
      </c>
      <c r="G469" s="102">
        <f>1190.5-199.9</f>
        <v>990.6</v>
      </c>
      <c r="H469" s="102">
        <v>0</v>
      </c>
      <c r="I469" s="102">
        <v>0</v>
      </c>
      <c r="J469" s="102">
        <v>0</v>
      </c>
      <c r="K469" s="103"/>
      <c r="L469" s="149"/>
      <c r="M469" s="57"/>
    </row>
    <row r="470" spans="1:13" ht="23.1" customHeight="1" x14ac:dyDescent="0.25">
      <c r="A470" s="45"/>
      <c r="B470" s="238"/>
      <c r="C470" s="99"/>
      <c r="D470" s="104">
        <v>2023</v>
      </c>
      <c r="E470" s="102">
        <f t="shared" si="48"/>
        <v>964</v>
      </c>
      <c r="F470" s="120">
        <v>0</v>
      </c>
      <c r="G470" s="102">
        <f>1065.8-101.8</f>
        <v>964</v>
      </c>
      <c r="H470" s="102">
        <v>0</v>
      </c>
      <c r="I470" s="102">
        <v>0</v>
      </c>
      <c r="J470" s="102">
        <v>0</v>
      </c>
      <c r="K470" s="103"/>
      <c r="L470" s="149"/>
      <c r="M470" s="57"/>
    </row>
    <row r="471" spans="1:13" ht="61.5" customHeight="1" x14ac:dyDescent="0.25">
      <c r="A471" s="45"/>
      <c r="B471" s="239" t="s">
        <v>359</v>
      </c>
      <c r="C471" s="99"/>
      <c r="D471" s="100">
        <v>2024</v>
      </c>
      <c r="E471" s="102">
        <f t="shared" si="48"/>
        <v>6043.7</v>
      </c>
      <c r="F471" s="105">
        <v>0</v>
      </c>
      <c r="G471" s="102">
        <f>1071.8+4971.9</f>
        <v>6043.7</v>
      </c>
      <c r="H471" s="102">
        <v>0</v>
      </c>
      <c r="I471" s="102">
        <v>0</v>
      </c>
      <c r="J471" s="102">
        <v>0</v>
      </c>
      <c r="K471" s="103"/>
      <c r="L471" s="149"/>
      <c r="M471" s="57"/>
    </row>
    <row r="472" spans="1:13" ht="54" customHeight="1" x14ac:dyDescent="0.25">
      <c r="A472" s="45"/>
      <c r="B472" s="239"/>
      <c r="C472" s="99"/>
      <c r="D472" s="100">
        <v>2025</v>
      </c>
      <c r="E472" s="102">
        <f t="shared" si="48"/>
        <v>29462.6</v>
      </c>
      <c r="F472" s="105">
        <v>0</v>
      </c>
      <c r="G472" s="102">
        <f>1128.6+13972.3+14361.7</f>
        <v>29462.6</v>
      </c>
      <c r="H472" s="102">
        <v>0</v>
      </c>
      <c r="I472" s="102">
        <v>0</v>
      </c>
      <c r="J472" s="102">
        <v>0</v>
      </c>
      <c r="K472" s="103"/>
      <c r="L472" s="149"/>
      <c r="M472" s="57"/>
    </row>
    <row r="473" spans="1:13" ht="37.5" customHeight="1" x14ac:dyDescent="0.25">
      <c r="A473" s="46"/>
      <c r="B473" s="239"/>
      <c r="C473" s="107"/>
      <c r="D473" s="100">
        <v>2026</v>
      </c>
      <c r="E473" s="102">
        <f t="shared" ref="E473" si="52">F473+G473+H473+J473</f>
        <v>31086.300000000003</v>
      </c>
      <c r="F473" s="105">
        <v>0</v>
      </c>
      <c r="G473" s="102">
        <f>1186.7+14746.4+15153.2</f>
        <v>31086.300000000003</v>
      </c>
      <c r="H473" s="102">
        <v>0</v>
      </c>
      <c r="I473" s="102">
        <v>0</v>
      </c>
      <c r="J473" s="102">
        <v>0</v>
      </c>
      <c r="K473" s="109"/>
      <c r="L473" s="156"/>
      <c r="M473" s="57"/>
    </row>
    <row r="474" spans="1:13" ht="64.5" customHeight="1" thickBot="1" x14ac:dyDescent="0.3">
      <c r="A474" s="47"/>
      <c r="B474" s="239"/>
      <c r="C474" s="111"/>
      <c r="D474" s="230">
        <v>2027</v>
      </c>
      <c r="E474" s="113">
        <f t="shared" si="48"/>
        <v>15757.8</v>
      </c>
      <c r="F474" s="231">
        <v>0</v>
      </c>
      <c r="G474" s="113">
        <f>15757.8</f>
        <v>15757.8</v>
      </c>
      <c r="H474" s="113">
        <v>0</v>
      </c>
      <c r="I474" s="113">
        <v>0</v>
      </c>
      <c r="J474" s="113">
        <v>0</v>
      </c>
      <c r="K474" s="114"/>
      <c r="L474" s="160"/>
      <c r="M474" s="57"/>
    </row>
    <row r="475" spans="1:13" ht="24.95" customHeight="1" x14ac:dyDescent="0.25">
      <c r="A475" s="48" t="s">
        <v>196</v>
      </c>
      <c r="B475" s="226" t="s">
        <v>103</v>
      </c>
      <c r="C475" s="141" t="e">
        <f>#REF!+#REF!+#REF!+#REF!+#REF!+#REF!+#REF!+#REF!</f>
        <v>#REF!</v>
      </c>
      <c r="D475" s="117">
        <v>2018</v>
      </c>
      <c r="E475" s="118">
        <f t="shared" si="48"/>
        <v>0</v>
      </c>
      <c r="F475" s="118">
        <v>0</v>
      </c>
      <c r="G475" s="118">
        <v>0</v>
      </c>
      <c r="H475" s="118">
        <v>0</v>
      </c>
      <c r="I475" s="118">
        <v>0</v>
      </c>
      <c r="J475" s="118">
        <v>0</v>
      </c>
      <c r="K475" s="145" t="s">
        <v>104</v>
      </c>
      <c r="L475" s="146" t="s">
        <v>102</v>
      </c>
      <c r="M475" s="57"/>
    </row>
    <row r="476" spans="1:13" ht="24.95" customHeight="1" x14ac:dyDescent="0.25">
      <c r="A476" s="45"/>
      <c r="B476" s="227"/>
      <c r="C476" s="99"/>
      <c r="D476" s="101">
        <v>2019</v>
      </c>
      <c r="E476" s="102">
        <f t="shared" si="48"/>
        <v>0</v>
      </c>
      <c r="F476" s="102">
        <v>0</v>
      </c>
      <c r="G476" s="102">
        <v>0</v>
      </c>
      <c r="H476" s="102">
        <v>0</v>
      </c>
      <c r="I476" s="102">
        <v>0</v>
      </c>
      <c r="J476" s="102">
        <v>0</v>
      </c>
      <c r="K476" s="103"/>
      <c r="L476" s="149"/>
      <c r="M476" s="57"/>
    </row>
    <row r="477" spans="1:13" ht="24.95" customHeight="1" x14ac:dyDescent="0.25">
      <c r="A477" s="45"/>
      <c r="B477" s="227"/>
      <c r="C477" s="99"/>
      <c r="D477" s="104">
        <v>2020</v>
      </c>
      <c r="E477" s="102">
        <f t="shared" si="48"/>
        <v>0</v>
      </c>
      <c r="F477" s="120">
        <v>0</v>
      </c>
      <c r="G477" s="102">
        <v>0</v>
      </c>
      <c r="H477" s="102">
        <v>0</v>
      </c>
      <c r="I477" s="102">
        <v>0</v>
      </c>
      <c r="J477" s="102">
        <v>0</v>
      </c>
      <c r="K477" s="103"/>
      <c r="L477" s="149"/>
      <c r="M477" s="57"/>
    </row>
    <row r="478" spans="1:13" ht="24.95" customHeight="1" x14ac:dyDescent="0.25">
      <c r="A478" s="45"/>
      <c r="B478" s="227"/>
      <c r="C478" s="99"/>
      <c r="D478" s="104">
        <v>2021</v>
      </c>
      <c r="E478" s="102">
        <f t="shared" si="48"/>
        <v>0</v>
      </c>
      <c r="F478" s="120">
        <v>0</v>
      </c>
      <c r="G478" s="102">
        <v>0</v>
      </c>
      <c r="H478" s="102">
        <v>0</v>
      </c>
      <c r="I478" s="102">
        <v>0</v>
      </c>
      <c r="J478" s="102">
        <v>0</v>
      </c>
      <c r="K478" s="103"/>
      <c r="L478" s="149"/>
      <c r="M478" s="57"/>
    </row>
    <row r="479" spans="1:13" ht="24.95" customHeight="1" x14ac:dyDescent="0.25">
      <c r="A479" s="45"/>
      <c r="B479" s="227"/>
      <c r="C479" s="99"/>
      <c r="D479" s="104">
        <v>2022</v>
      </c>
      <c r="E479" s="102">
        <f t="shared" si="48"/>
        <v>0</v>
      </c>
      <c r="F479" s="120">
        <v>0</v>
      </c>
      <c r="G479" s="102">
        <v>0</v>
      </c>
      <c r="H479" s="102">
        <v>0</v>
      </c>
      <c r="I479" s="102">
        <v>0</v>
      </c>
      <c r="J479" s="102">
        <v>0</v>
      </c>
      <c r="K479" s="103"/>
      <c r="L479" s="149"/>
      <c r="M479" s="57"/>
    </row>
    <row r="480" spans="1:13" ht="24.95" customHeight="1" x14ac:dyDescent="0.25">
      <c r="A480" s="45"/>
      <c r="B480" s="227"/>
      <c r="C480" s="99"/>
      <c r="D480" s="104">
        <v>2023</v>
      </c>
      <c r="E480" s="102">
        <f t="shared" si="48"/>
        <v>0</v>
      </c>
      <c r="F480" s="120">
        <v>0</v>
      </c>
      <c r="G480" s="102">
        <v>0</v>
      </c>
      <c r="H480" s="102">
        <v>0</v>
      </c>
      <c r="I480" s="102">
        <v>0</v>
      </c>
      <c r="J480" s="102">
        <v>0</v>
      </c>
      <c r="K480" s="103"/>
      <c r="L480" s="149"/>
      <c r="M480" s="57"/>
    </row>
    <row r="481" spans="1:13" ht="24.95" customHeight="1" x14ac:dyDescent="0.25">
      <c r="A481" s="45"/>
      <c r="B481" s="227"/>
      <c r="C481" s="99"/>
      <c r="D481" s="104">
        <v>2024</v>
      </c>
      <c r="E481" s="102">
        <f t="shared" si="48"/>
        <v>0</v>
      </c>
      <c r="F481" s="120">
        <v>0</v>
      </c>
      <c r="G481" s="102">
        <v>0</v>
      </c>
      <c r="H481" s="102">
        <v>0</v>
      </c>
      <c r="I481" s="102">
        <v>0</v>
      </c>
      <c r="J481" s="102">
        <v>0</v>
      </c>
      <c r="K481" s="103"/>
      <c r="L481" s="149"/>
      <c r="M481" s="57"/>
    </row>
    <row r="482" spans="1:13" ht="24.95" customHeight="1" x14ac:dyDescent="0.25">
      <c r="A482" s="45"/>
      <c r="B482" s="227"/>
      <c r="C482" s="99"/>
      <c r="D482" s="104">
        <v>2025</v>
      </c>
      <c r="E482" s="102">
        <f t="shared" si="48"/>
        <v>2267.5</v>
      </c>
      <c r="F482" s="120">
        <v>0</v>
      </c>
      <c r="G482" s="102">
        <v>0</v>
      </c>
      <c r="H482" s="102">
        <v>2267.5</v>
      </c>
      <c r="I482" s="102">
        <v>0</v>
      </c>
      <c r="J482" s="102">
        <v>0</v>
      </c>
      <c r="K482" s="103"/>
      <c r="L482" s="149"/>
      <c r="M482" s="57"/>
    </row>
    <row r="483" spans="1:13" ht="24.95" customHeight="1" x14ac:dyDescent="0.25">
      <c r="A483" s="46"/>
      <c r="B483" s="228"/>
      <c r="C483" s="107"/>
      <c r="D483" s="104">
        <v>2026</v>
      </c>
      <c r="E483" s="102">
        <f t="shared" ref="E483" si="53">F483+G483+H483+J483</f>
        <v>2267.5</v>
      </c>
      <c r="F483" s="120">
        <v>0</v>
      </c>
      <c r="G483" s="102">
        <v>0</v>
      </c>
      <c r="H483" s="102">
        <v>2267.5</v>
      </c>
      <c r="I483" s="102">
        <v>0</v>
      </c>
      <c r="J483" s="102">
        <v>0</v>
      </c>
      <c r="K483" s="109"/>
      <c r="L483" s="156"/>
      <c r="M483" s="57"/>
    </row>
    <row r="484" spans="1:13" ht="24.95" customHeight="1" thickBot="1" x14ac:dyDescent="0.3">
      <c r="A484" s="47"/>
      <c r="B484" s="229"/>
      <c r="C484" s="111"/>
      <c r="D484" s="159">
        <v>2027</v>
      </c>
      <c r="E484" s="113">
        <f t="shared" si="48"/>
        <v>2267.5</v>
      </c>
      <c r="F484" s="123">
        <v>0</v>
      </c>
      <c r="G484" s="113">
        <v>0</v>
      </c>
      <c r="H484" s="113">
        <v>2267.5</v>
      </c>
      <c r="I484" s="113">
        <v>0</v>
      </c>
      <c r="J484" s="113">
        <v>0</v>
      </c>
      <c r="K484" s="114"/>
      <c r="L484" s="160"/>
      <c r="M484" s="57"/>
    </row>
    <row r="485" spans="1:13" ht="24.95" customHeight="1" x14ac:dyDescent="0.25">
      <c r="A485" s="48" t="s">
        <v>106</v>
      </c>
      <c r="B485" s="226" t="s">
        <v>105</v>
      </c>
      <c r="C485" s="141" t="e">
        <f>#REF!+#REF!+#REF!+#REF!+#REF!+#REF!+#REF!+#REF!</f>
        <v>#REF!</v>
      </c>
      <c r="D485" s="143">
        <v>2018</v>
      </c>
      <c r="E485" s="144">
        <f t="shared" si="48"/>
        <v>2371.6999999999998</v>
      </c>
      <c r="F485" s="144">
        <v>0</v>
      </c>
      <c r="G485" s="144">
        <v>0</v>
      </c>
      <c r="H485" s="144">
        <v>2371.6999999999998</v>
      </c>
      <c r="I485" s="144">
        <v>0</v>
      </c>
      <c r="J485" s="144">
        <v>0</v>
      </c>
      <c r="K485" s="145" t="s">
        <v>107</v>
      </c>
      <c r="L485" s="146" t="s">
        <v>31</v>
      </c>
      <c r="M485" s="57"/>
    </row>
    <row r="486" spans="1:13" ht="24.95" customHeight="1" x14ac:dyDescent="0.25">
      <c r="A486" s="45"/>
      <c r="B486" s="227"/>
      <c r="C486" s="99"/>
      <c r="D486" s="101">
        <v>2019</v>
      </c>
      <c r="E486" s="102">
        <f t="shared" si="48"/>
        <v>2414.4</v>
      </c>
      <c r="F486" s="102">
        <v>0</v>
      </c>
      <c r="G486" s="102">
        <v>0</v>
      </c>
      <c r="H486" s="102">
        <v>2414.4</v>
      </c>
      <c r="I486" s="102">
        <v>0</v>
      </c>
      <c r="J486" s="102">
        <v>0</v>
      </c>
      <c r="K486" s="103"/>
      <c r="L486" s="149"/>
      <c r="M486" s="57"/>
    </row>
    <row r="487" spans="1:13" ht="24.95" customHeight="1" x14ac:dyDescent="0.25">
      <c r="A487" s="45"/>
      <c r="B487" s="227"/>
      <c r="C487" s="99"/>
      <c r="D487" s="104">
        <v>2020</v>
      </c>
      <c r="E487" s="102">
        <f t="shared" si="48"/>
        <v>6070.5</v>
      </c>
      <c r="F487" s="120">
        <v>0</v>
      </c>
      <c r="G487" s="102">
        <v>0</v>
      </c>
      <c r="H487" s="102">
        <v>6070.5</v>
      </c>
      <c r="I487" s="102">
        <v>0</v>
      </c>
      <c r="J487" s="102">
        <v>0</v>
      </c>
      <c r="K487" s="103"/>
      <c r="L487" s="149"/>
      <c r="M487" s="57"/>
    </row>
    <row r="488" spans="1:13" ht="24.95" customHeight="1" x14ac:dyDescent="0.25">
      <c r="A488" s="45"/>
      <c r="B488" s="227"/>
      <c r="C488" s="99"/>
      <c r="D488" s="104">
        <v>2021</v>
      </c>
      <c r="E488" s="102">
        <f t="shared" si="48"/>
        <v>11999.9</v>
      </c>
      <c r="F488" s="120">
        <v>0</v>
      </c>
      <c r="G488" s="102">
        <v>0</v>
      </c>
      <c r="H488" s="102">
        <v>11999.9</v>
      </c>
      <c r="I488" s="102">
        <v>0</v>
      </c>
      <c r="J488" s="102">
        <v>0</v>
      </c>
      <c r="K488" s="103"/>
      <c r="L488" s="149"/>
      <c r="M488" s="57"/>
    </row>
    <row r="489" spans="1:13" ht="24.95" customHeight="1" x14ac:dyDescent="0.25">
      <c r="A489" s="45"/>
      <c r="B489" s="227"/>
      <c r="C489" s="99"/>
      <c r="D489" s="104">
        <v>2022</v>
      </c>
      <c r="E489" s="102">
        <f t="shared" si="48"/>
        <v>29760.799999999999</v>
      </c>
      <c r="F489" s="120">
        <v>0</v>
      </c>
      <c r="G489" s="102">
        <v>0</v>
      </c>
      <c r="H489" s="102">
        <f>27940.6-212.3-67.8-938.6+2971.6-9.1+175+395+95-555.9-79.5-399.4+128.9+114.7-130-67.1+70+0.3-60.4+389.8</f>
        <v>29760.799999999999</v>
      </c>
      <c r="I489" s="102">
        <v>0</v>
      </c>
      <c r="J489" s="102">
        <v>0</v>
      </c>
      <c r="K489" s="103"/>
      <c r="L489" s="149"/>
      <c r="M489" s="57"/>
    </row>
    <row r="490" spans="1:13" ht="24.95" customHeight="1" x14ac:dyDescent="0.25">
      <c r="A490" s="45"/>
      <c r="B490" s="227"/>
      <c r="C490" s="99"/>
      <c r="D490" s="104">
        <v>2023</v>
      </c>
      <c r="E490" s="102">
        <f t="shared" si="48"/>
        <v>19620.100000000002</v>
      </c>
      <c r="F490" s="120">
        <v>0</v>
      </c>
      <c r="G490" s="102">
        <v>0</v>
      </c>
      <c r="H490" s="102">
        <f>2429.4+4519.1-297.2+2096.6+379.3-190+967.1+1306.4+14.2+1249.1-553.6+253.4+178.6+278.2+300+390+358+184.7+1080+515.9+271-58.5+320+780.2+420+2428.2</f>
        <v>19620.100000000002</v>
      </c>
      <c r="I490" s="102">
        <v>0</v>
      </c>
      <c r="J490" s="102">
        <v>0</v>
      </c>
      <c r="K490" s="103"/>
      <c r="L490" s="149"/>
      <c r="M490" s="57"/>
    </row>
    <row r="491" spans="1:13" ht="24.95" customHeight="1" x14ac:dyDescent="0.25">
      <c r="A491" s="45"/>
      <c r="B491" s="227"/>
      <c r="C491" s="99"/>
      <c r="D491" s="104">
        <v>2024</v>
      </c>
      <c r="E491" s="102">
        <f t="shared" si="48"/>
        <v>80435.8</v>
      </c>
      <c r="F491" s="120">
        <v>0</v>
      </c>
      <c r="G491" s="102">
        <v>0</v>
      </c>
      <c r="H491" s="121">
        <f>1742.1+473+342.3+400+55+4787.8+522+739.5+6070.4+295.5+3756.8+10910.4+10910+51-189-4787.8+354.3+4787.8+3961.1-210+210-100-988.8+100+988.8+2553.7+548.4+6017.7+583+2361.5+2499+1304.3+3963.9+13869.1+775+748+30</f>
        <v>80435.8</v>
      </c>
      <c r="I491" s="102">
        <v>0</v>
      </c>
      <c r="J491" s="102">
        <v>0</v>
      </c>
      <c r="K491" s="103"/>
      <c r="L491" s="149"/>
      <c r="M491" s="57"/>
    </row>
    <row r="492" spans="1:13" ht="24.95" customHeight="1" x14ac:dyDescent="0.25">
      <c r="A492" s="45"/>
      <c r="B492" s="227"/>
      <c r="C492" s="99"/>
      <c r="D492" s="104">
        <v>2025</v>
      </c>
      <c r="E492" s="102">
        <f t="shared" si="48"/>
        <v>57131.6</v>
      </c>
      <c r="F492" s="120">
        <v>0</v>
      </c>
      <c r="G492" s="102">
        <v>0</v>
      </c>
      <c r="H492" s="121">
        <v>57131.6</v>
      </c>
      <c r="I492" s="102">
        <v>0</v>
      </c>
      <c r="J492" s="102">
        <v>0</v>
      </c>
      <c r="K492" s="103"/>
      <c r="L492" s="149"/>
      <c r="M492" s="57"/>
    </row>
    <row r="493" spans="1:13" ht="24.95" customHeight="1" x14ac:dyDescent="0.25">
      <c r="A493" s="46"/>
      <c r="B493" s="228"/>
      <c r="C493" s="107"/>
      <c r="D493" s="104">
        <v>2026</v>
      </c>
      <c r="E493" s="102">
        <f t="shared" ref="E493" si="54">F493+G493+H493+J493</f>
        <v>57131.6</v>
      </c>
      <c r="F493" s="120">
        <v>0</v>
      </c>
      <c r="G493" s="102">
        <v>0</v>
      </c>
      <c r="H493" s="121">
        <v>57131.6</v>
      </c>
      <c r="I493" s="102">
        <v>0</v>
      </c>
      <c r="J493" s="102">
        <v>0</v>
      </c>
      <c r="K493" s="109"/>
      <c r="L493" s="156"/>
      <c r="M493" s="57"/>
    </row>
    <row r="494" spans="1:13" ht="24.95" customHeight="1" thickBot="1" x14ac:dyDescent="0.3">
      <c r="A494" s="47"/>
      <c r="B494" s="229"/>
      <c r="C494" s="111"/>
      <c r="D494" s="159">
        <v>2027</v>
      </c>
      <c r="E494" s="113">
        <f t="shared" si="48"/>
        <v>57131.6</v>
      </c>
      <c r="F494" s="123">
        <v>0</v>
      </c>
      <c r="G494" s="113">
        <v>0</v>
      </c>
      <c r="H494" s="124">
        <v>57131.6</v>
      </c>
      <c r="I494" s="113">
        <v>0</v>
      </c>
      <c r="J494" s="113">
        <v>0</v>
      </c>
      <c r="K494" s="114"/>
      <c r="L494" s="160"/>
      <c r="M494" s="57"/>
    </row>
    <row r="495" spans="1:13" ht="23.1" customHeight="1" x14ac:dyDescent="0.25">
      <c r="A495" s="48" t="s">
        <v>108</v>
      </c>
      <c r="B495" s="226" t="s">
        <v>109</v>
      </c>
      <c r="C495" s="141" t="e">
        <f>#REF!+#REF!+#REF!+#REF!+#REF!+#REF!+#REF!+#REF!</f>
        <v>#REF!</v>
      </c>
      <c r="D495" s="143">
        <v>2018</v>
      </c>
      <c r="E495" s="144">
        <f t="shared" si="48"/>
        <v>1812</v>
      </c>
      <c r="F495" s="144">
        <v>0</v>
      </c>
      <c r="G495" s="144">
        <v>0</v>
      </c>
      <c r="H495" s="144">
        <v>1812</v>
      </c>
      <c r="I495" s="144">
        <v>0</v>
      </c>
      <c r="J495" s="144">
        <v>0</v>
      </c>
      <c r="K495" s="145" t="s">
        <v>110</v>
      </c>
      <c r="L495" s="146" t="s">
        <v>31</v>
      </c>
      <c r="M495" s="57"/>
    </row>
    <row r="496" spans="1:13" ht="23.1" customHeight="1" x14ac:dyDescent="0.25">
      <c r="A496" s="45"/>
      <c r="B496" s="227"/>
      <c r="C496" s="99"/>
      <c r="D496" s="101">
        <v>2019</v>
      </c>
      <c r="E496" s="102">
        <f t="shared" si="48"/>
        <v>1997</v>
      </c>
      <c r="F496" s="102">
        <v>0</v>
      </c>
      <c r="G496" s="102">
        <v>0</v>
      </c>
      <c r="H496" s="102">
        <v>1997</v>
      </c>
      <c r="I496" s="102">
        <v>0</v>
      </c>
      <c r="J496" s="102">
        <v>0</v>
      </c>
      <c r="K496" s="103"/>
      <c r="L496" s="149"/>
      <c r="M496" s="57"/>
    </row>
    <row r="497" spans="1:13" ht="23.1" customHeight="1" x14ac:dyDescent="0.25">
      <c r="A497" s="45"/>
      <c r="B497" s="227"/>
      <c r="C497" s="99"/>
      <c r="D497" s="104">
        <v>2020</v>
      </c>
      <c r="E497" s="102">
        <f t="shared" si="48"/>
        <v>65</v>
      </c>
      <c r="F497" s="120">
        <v>0</v>
      </c>
      <c r="G497" s="102">
        <v>0</v>
      </c>
      <c r="H497" s="102">
        <v>65</v>
      </c>
      <c r="I497" s="102">
        <v>0</v>
      </c>
      <c r="J497" s="102">
        <v>0</v>
      </c>
      <c r="K497" s="103"/>
      <c r="L497" s="149"/>
      <c r="M497" s="57"/>
    </row>
    <row r="498" spans="1:13" ht="23.1" customHeight="1" x14ac:dyDescent="0.25">
      <c r="A498" s="45"/>
      <c r="B498" s="227"/>
      <c r="C498" s="99"/>
      <c r="D498" s="104">
        <v>2021</v>
      </c>
      <c r="E498" s="102">
        <f t="shared" si="48"/>
        <v>1064.4000000000001</v>
      </c>
      <c r="F498" s="120">
        <v>0</v>
      </c>
      <c r="G498" s="102">
        <v>0</v>
      </c>
      <c r="H498" s="102">
        <v>1064.4000000000001</v>
      </c>
      <c r="I498" s="102">
        <v>0</v>
      </c>
      <c r="J498" s="102">
        <v>0</v>
      </c>
      <c r="K498" s="103"/>
      <c r="L498" s="149"/>
      <c r="M498" s="57"/>
    </row>
    <row r="499" spans="1:13" ht="23.1" customHeight="1" x14ac:dyDescent="0.25">
      <c r="A499" s="45"/>
      <c r="B499" s="227"/>
      <c r="C499" s="99"/>
      <c r="D499" s="104">
        <v>2022</v>
      </c>
      <c r="E499" s="102">
        <f t="shared" si="48"/>
        <v>0</v>
      </c>
      <c r="F499" s="120">
        <v>0</v>
      </c>
      <c r="G499" s="102">
        <v>0</v>
      </c>
      <c r="H499" s="102">
        <v>0</v>
      </c>
      <c r="I499" s="102">
        <v>0</v>
      </c>
      <c r="J499" s="102">
        <v>0</v>
      </c>
      <c r="K499" s="103"/>
      <c r="L499" s="149"/>
      <c r="M499" s="57"/>
    </row>
    <row r="500" spans="1:13" ht="23.1" customHeight="1" x14ac:dyDescent="0.25">
      <c r="A500" s="45"/>
      <c r="B500" s="227"/>
      <c r="C500" s="99"/>
      <c r="D500" s="104">
        <v>2023</v>
      </c>
      <c r="E500" s="102">
        <f t="shared" si="48"/>
        <v>0</v>
      </c>
      <c r="F500" s="120">
        <v>0</v>
      </c>
      <c r="G500" s="102">
        <v>0</v>
      </c>
      <c r="H500" s="102">
        <v>0</v>
      </c>
      <c r="I500" s="102">
        <v>0</v>
      </c>
      <c r="J500" s="102">
        <v>0</v>
      </c>
      <c r="K500" s="103"/>
      <c r="L500" s="149"/>
      <c r="M500" s="57"/>
    </row>
    <row r="501" spans="1:13" ht="23.1" customHeight="1" x14ac:dyDescent="0.25">
      <c r="A501" s="45"/>
      <c r="B501" s="227"/>
      <c r="C501" s="99"/>
      <c r="D501" s="104">
        <v>2024</v>
      </c>
      <c r="E501" s="102">
        <f t="shared" si="48"/>
        <v>0</v>
      </c>
      <c r="F501" s="120">
        <v>0</v>
      </c>
      <c r="G501" s="102">
        <v>0</v>
      </c>
      <c r="H501" s="102">
        <v>0</v>
      </c>
      <c r="I501" s="102">
        <v>0</v>
      </c>
      <c r="J501" s="102">
        <v>0</v>
      </c>
      <c r="K501" s="103"/>
      <c r="L501" s="149"/>
      <c r="M501" s="57"/>
    </row>
    <row r="502" spans="1:13" ht="23.1" customHeight="1" x14ac:dyDescent="0.25">
      <c r="A502" s="45"/>
      <c r="B502" s="227"/>
      <c r="C502" s="99"/>
      <c r="D502" s="104">
        <v>2025</v>
      </c>
      <c r="E502" s="102">
        <f t="shared" si="48"/>
        <v>0</v>
      </c>
      <c r="F502" s="120">
        <v>0</v>
      </c>
      <c r="G502" s="102">
        <v>0</v>
      </c>
      <c r="H502" s="102">
        <v>0</v>
      </c>
      <c r="I502" s="102">
        <v>0</v>
      </c>
      <c r="J502" s="102">
        <v>0</v>
      </c>
      <c r="K502" s="103"/>
      <c r="L502" s="149"/>
      <c r="M502" s="57"/>
    </row>
    <row r="503" spans="1:13" ht="23.1" customHeight="1" x14ac:dyDescent="0.25">
      <c r="A503" s="46"/>
      <c r="B503" s="228"/>
      <c r="C503" s="107"/>
      <c r="D503" s="104">
        <v>2026</v>
      </c>
      <c r="E503" s="102">
        <f t="shared" ref="E503" si="55">F503+G503+H503+J503</f>
        <v>0</v>
      </c>
      <c r="F503" s="120">
        <v>0</v>
      </c>
      <c r="G503" s="102">
        <v>0</v>
      </c>
      <c r="H503" s="102">
        <v>0</v>
      </c>
      <c r="I503" s="102">
        <v>0</v>
      </c>
      <c r="J503" s="102">
        <v>0</v>
      </c>
      <c r="K503" s="109"/>
      <c r="L503" s="156"/>
      <c r="M503" s="57"/>
    </row>
    <row r="504" spans="1:13" ht="23.1" customHeight="1" thickBot="1" x14ac:dyDescent="0.3">
      <c r="A504" s="47"/>
      <c r="B504" s="229"/>
      <c r="C504" s="111"/>
      <c r="D504" s="159">
        <v>2027</v>
      </c>
      <c r="E504" s="113">
        <f t="shared" si="48"/>
        <v>0</v>
      </c>
      <c r="F504" s="123">
        <v>0</v>
      </c>
      <c r="G504" s="113">
        <v>0</v>
      </c>
      <c r="H504" s="113">
        <v>0</v>
      </c>
      <c r="I504" s="113">
        <v>0</v>
      </c>
      <c r="J504" s="113">
        <v>0</v>
      </c>
      <c r="K504" s="114"/>
      <c r="L504" s="160"/>
      <c r="M504" s="57"/>
    </row>
    <row r="505" spans="1:13" ht="23.1" customHeight="1" x14ac:dyDescent="0.25">
      <c r="A505" s="48" t="s">
        <v>197</v>
      </c>
      <c r="B505" s="226" t="s">
        <v>111</v>
      </c>
      <c r="C505" s="141" t="e">
        <f>#REF!+#REF!+#REF!+#REF!+#REF!+#REF!+#REF!+#REF!</f>
        <v>#REF!</v>
      </c>
      <c r="D505" s="143">
        <v>2018</v>
      </c>
      <c r="E505" s="144">
        <f t="shared" si="48"/>
        <v>0</v>
      </c>
      <c r="F505" s="144">
        <v>0</v>
      </c>
      <c r="G505" s="144">
        <v>0</v>
      </c>
      <c r="H505" s="144">
        <v>0</v>
      </c>
      <c r="I505" s="144">
        <v>0</v>
      </c>
      <c r="J505" s="144">
        <v>0</v>
      </c>
      <c r="K505" s="145" t="s">
        <v>104</v>
      </c>
      <c r="L505" s="146" t="s">
        <v>31</v>
      </c>
      <c r="M505" s="57"/>
    </row>
    <row r="506" spans="1:13" ht="23.1" customHeight="1" x14ac:dyDescent="0.25">
      <c r="A506" s="45"/>
      <c r="B506" s="227"/>
      <c r="C506" s="99"/>
      <c r="D506" s="101">
        <v>2019</v>
      </c>
      <c r="E506" s="102">
        <f t="shared" si="48"/>
        <v>0</v>
      </c>
      <c r="F506" s="102">
        <v>0</v>
      </c>
      <c r="G506" s="102">
        <v>0</v>
      </c>
      <c r="H506" s="102">
        <v>0</v>
      </c>
      <c r="I506" s="102">
        <v>0</v>
      </c>
      <c r="J506" s="102">
        <v>0</v>
      </c>
      <c r="K506" s="103"/>
      <c r="L506" s="149"/>
      <c r="M506" s="57"/>
    </row>
    <row r="507" spans="1:13" ht="23.1" customHeight="1" x14ac:dyDescent="0.25">
      <c r="A507" s="45"/>
      <c r="B507" s="227"/>
      <c r="C507" s="99"/>
      <c r="D507" s="104">
        <v>2020</v>
      </c>
      <c r="E507" s="102">
        <f t="shared" si="48"/>
        <v>0</v>
      </c>
      <c r="F507" s="120">
        <v>0</v>
      </c>
      <c r="G507" s="102">
        <v>0</v>
      </c>
      <c r="H507" s="102">
        <v>0</v>
      </c>
      <c r="I507" s="102">
        <v>0</v>
      </c>
      <c r="J507" s="102">
        <v>0</v>
      </c>
      <c r="K507" s="103"/>
      <c r="L507" s="149"/>
      <c r="M507" s="57"/>
    </row>
    <row r="508" spans="1:13" ht="23.1" customHeight="1" x14ac:dyDescent="0.25">
      <c r="A508" s="45"/>
      <c r="B508" s="227"/>
      <c r="C508" s="99"/>
      <c r="D508" s="104">
        <v>2021</v>
      </c>
      <c r="E508" s="102">
        <f t="shared" si="48"/>
        <v>0</v>
      </c>
      <c r="F508" s="120">
        <v>0</v>
      </c>
      <c r="G508" s="102">
        <v>0</v>
      </c>
      <c r="H508" s="102">
        <v>0</v>
      </c>
      <c r="I508" s="102">
        <v>0</v>
      </c>
      <c r="J508" s="102">
        <v>0</v>
      </c>
      <c r="K508" s="103"/>
      <c r="L508" s="149"/>
      <c r="M508" s="57"/>
    </row>
    <row r="509" spans="1:13" ht="23.1" customHeight="1" x14ac:dyDescent="0.25">
      <c r="A509" s="45"/>
      <c r="B509" s="227"/>
      <c r="C509" s="99"/>
      <c r="D509" s="104">
        <v>2022</v>
      </c>
      <c r="E509" s="102">
        <f t="shared" si="48"/>
        <v>0</v>
      </c>
      <c r="F509" s="120">
        <v>0</v>
      </c>
      <c r="G509" s="102">
        <v>0</v>
      </c>
      <c r="H509" s="102">
        <v>0</v>
      </c>
      <c r="I509" s="102">
        <v>0</v>
      </c>
      <c r="J509" s="102">
        <v>0</v>
      </c>
      <c r="K509" s="103"/>
      <c r="L509" s="149"/>
      <c r="M509" s="57"/>
    </row>
    <row r="510" spans="1:13" ht="23.1" customHeight="1" x14ac:dyDescent="0.25">
      <c r="A510" s="45"/>
      <c r="B510" s="227"/>
      <c r="C510" s="99"/>
      <c r="D510" s="104">
        <v>2023</v>
      </c>
      <c r="E510" s="102">
        <f t="shared" si="48"/>
        <v>0</v>
      </c>
      <c r="F510" s="120">
        <v>0</v>
      </c>
      <c r="G510" s="102">
        <v>0</v>
      </c>
      <c r="H510" s="102">
        <v>0</v>
      </c>
      <c r="I510" s="102">
        <v>0</v>
      </c>
      <c r="J510" s="102">
        <v>0</v>
      </c>
      <c r="K510" s="103"/>
      <c r="L510" s="149"/>
      <c r="M510" s="57"/>
    </row>
    <row r="511" spans="1:13" ht="23.1" customHeight="1" x14ac:dyDescent="0.25">
      <c r="A511" s="45"/>
      <c r="B511" s="227"/>
      <c r="C511" s="99"/>
      <c r="D511" s="104">
        <v>2024</v>
      </c>
      <c r="E511" s="102">
        <f t="shared" si="48"/>
        <v>0</v>
      </c>
      <c r="F511" s="120">
        <v>0</v>
      </c>
      <c r="G511" s="102">
        <v>0</v>
      </c>
      <c r="H511" s="102">
        <v>0</v>
      </c>
      <c r="I511" s="102">
        <v>0</v>
      </c>
      <c r="J511" s="102">
        <v>0</v>
      </c>
      <c r="K511" s="103"/>
      <c r="L511" s="149"/>
      <c r="M511" s="57"/>
    </row>
    <row r="512" spans="1:13" ht="23.1" customHeight="1" x14ac:dyDescent="0.25">
      <c r="A512" s="45"/>
      <c r="B512" s="227"/>
      <c r="C512" s="99"/>
      <c r="D512" s="104">
        <v>2025</v>
      </c>
      <c r="E512" s="102">
        <f t="shared" si="48"/>
        <v>0</v>
      </c>
      <c r="F512" s="120">
        <v>0</v>
      </c>
      <c r="G512" s="102">
        <v>0</v>
      </c>
      <c r="H512" s="102">
        <v>0</v>
      </c>
      <c r="I512" s="102">
        <v>0</v>
      </c>
      <c r="J512" s="102">
        <v>0</v>
      </c>
      <c r="K512" s="103"/>
      <c r="L512" s="149"/>
      <c r="M512" s="57"/>
    </row>
    <row r="513" spans="1:13" ht="23.1" customHeight="1" x14ac:dyDescent="0.25">
      <c r="A513" s="46"/>
      <c r="B513" s="228"/>
      <c r="C513" s="107"/>
      <c r="D513" s="104">
        <v>2026</v>
      </c>
      <c r="E513" s="102">
        <f t="shared" ref="E513" si="56">F513+G513+H513+J513</f>
        <v>0</v>
      </c>
      <c r="F513" s="120">
        <v>0</v>
      </c>
      <c r="G513" s="102">
        <v>0</v>
      </c>
      <c r="H513" s="102">
        <v>0</v>
      </c>
      <c r="I513" s="102">
        <v>0</v>
      </c>
      <c r="J513" s="102">
        <v>0</v>
      </c>
      <c r="K513" s="109"/>
      <c r="L513" s="156"/>
      <c r="M513" s="57"/>
    </row>
    <row r="514" spans="1:13" ht="23.1" customHeight="1" thickBot="1" x14ac:dyDescent="0.3">
      <c r="A514" s="47"/>
      <c r="B514" s="229"/>
      <c r="C514" s="111"/>
      <c r="D514" s="159">
        <v>2027</v>
      </c>
      <c r="E514" s="113">
        <f t="shared" si="48"/>
        <v>0</v>
      </c>
      <c r="F514" s="123">
        <v>0</v>
      </c>
      <c r="G514" s="113">
        <v>0</v>
      </c>
      <c r="H514" s="113">
        <v>0</v>
      </c>
      <c r="I514" s="113">
        <v>0</v>
      </c>
      <c r="J514" s="113">
        <v>0</v>
      </c>
      <c r="K514" s="114"/>
      <c r="L514" s="160"/>
      <c r="M514" s="57"/>
    </row>
    <row r="515" spans="1:13" ht="23.1" customHeight="1" x14ac:dyDescent="0.25">
      <c r="A515" s="48" t="s">
        <v>112</v>
      </c>
      <c r="B515" s="226" t="s">
        <v>113</v>
      </c>
      <c r="C515" s="141" t="e">
        <f>#REF!+#REF!+#REF!+#REF!+#REF!+#REF!+#REF!+#REF!</f>
        <v>#REF!</v>
      </c>
      <c r="D515" s="143">
        <v>2018</v>
      </c>
      <c r="E515" s="144">
        <f t="shared" si="48"/>
        <v>4300</v>
      </c>
      <c r="F515" s="144">
        <v>0</v>
      </c>
      <c r="G515" s="144">
        <v>4300</v>
      </c>
      <c r="H515" s="144">
        <v>0</v>
      </c>
      <c r="I515" s="144">
        <v>0</v>
      </c>
      <c r="J515" s="144">
        <v>0</v>
      </c>
      <c r="K515" s="145" t="s">
        <v>114</v>
      </c>
      <c r="L515" s="146" t="s">
        <v>115</v>
      </c>
      <c r="M515" s="57"/>
    </row>
    <row r="516" spans="1:13" ht="23.1" customHeight="1" x14ac:dyDescent="0.25">
      <c r="A516" s="45"/>
      <c r="B516" s="227"/>
      <c r="C516" s="99"/>
      <c r="D516" s="101">
        <v>2019</v>
      </c>
      <c r="E516" s="102">
        <f t="shared" ref="E516:E595" si="57">F516+G516+H516+J516</f>
        <v>4310</v>
      </c>
      <c r="F516" s="102">
        <v>0</v>
      </c>
      <c r="G516" s="102">
        <v>4310</v>
      </c>
      <c r="H516" s="102">
        <v>0</v>
      </c>
      <c r="I516" s="102">
        <v>0</v>
      </c>
      <c r="J516" s="102">
        <v>0</v>
      </c>
      <c r="K516" s="103"/>
      <c r="L516" s="149"/>
      <c r="M516" s="57"/>
    </row>
    <row r="517" spans="1:13" ht="23.1" customHeight="1" x14ac:dyDescent="0.25">
      <c r="A517" s="45"/>
      <c r="B517" s="227"/>
      <c r="C517" s="99"/>
      <c r="D517" s="104">
        <v>2020</v>
      </c>
      <c r="E517" s="102">
        <f t="shared" si="57"/>
        <v>200</v>
      </c>
      <c r="F517" s="120">
        <v>0</v>
      </c>
      <c r="G517" s="102">
        <v>200</v>
      </c>
      <c r="H517" s="102">
        <v>0</v>
      </c>
      <c r="I517" s="102">
        <v>0</v>
      </c>
      <c r="J517" s="102">
        <v>0</v>
      </c>
      <c r="K517" s="103"/>
      <c r="L517" s="149"/>
      <c r="M517" s="57"/>
    </row>
    <row r="518" spans="1:13" ht="23.1" customHeight="1" x14ac:dyDescent="0.25">
      <c r="A518" s="45"/>
      <c r="B518" s="227"/>
      <c r="C518" s="99"/>
      <c r="D518" s="104">
        <v>2021</v>
      </c>
      <c r="E518" s="102">
        <f t="shared" si="57"/>
        <v>10500</v>
      </c>
      <c r="F518" s="120">
        <v>0</v>
      </c>
      <c r="G518" s="102">
        <v>10500</v>
      </c>
      <c r="H518" s="102">
        <v>0</v>
      </c>
      <c r="I518" s="102">
        <v>0</v>
      </c>
      <c r="J518" s="102">
        <v>0</v>
      </c>
      <c r="K518" s="103"/>
      <c r="L518" s="149"/>
      <c r="M518" s="57"/>
    </row>
    <row r="519" spans="1:13" ht="23.1" customHeight="1" x14ac:dyDescent="0.25">
      <c r="A519" s="45"/>
      <c r="B519" s="227"/>
      <c r="C519" s="99"/>
      <c r="D519" s="104">
        <v>2022</v>
      </c>
      <c r="E519" s="102">
        <f t="shared" si="57"/>
        <v>31705.5</v>
      </c>
      <c r="F519" s="120">
        <v>0</v>
      </c>
      <c r="G519" s="102">
        <v>31705.5</v>
      </c>
      <c r="H519" s="102">
        <v>0</v>
      </c>
      <c r="I519" s="102">
        <v>0</v>
      </c>
      <c r="J519" s="102">
        <v>0</v>
      </c>
      <c r="K519" s="103"/>
      <c r="L519" s="149"/>
      <c r="M519" s="57"/>
    </row>
    <row r="520" spans="1:13" ht="23.1" customHeight="1" x14ac:dyDescent="0.25">
      <c r="A520" s="45"/>
      <c r="B520" s="227"/>
      <c r="C520" s="99"/>
      <c r="D520" s="104">
        <v>2023</v>
      </c>
      <c r="E520" s="102">
        <f t="shared" si="57"/>
        <v>8000</v>
      </c>
      <c r="F520" s="120">
        <v>0</v>
      </c>
      <c r="G520" s="102">
        <v>8000</v>
      </c>
      <c r="H520" s="102">
        <v>0</v>
      </c>
      <c r="I520" s="102">
        <v>0</v>
      </c>
      <c r="J520" s="102">
        <v>0</v>
      </c>
      <c r="K520" s="103"/>
      <c r="L520" s="149"/>
      <c r="M520" s="57"/>
    </row>
    <row r="521" spans="1:13" ht="23.1" customHeight="1" x14ac:dyDescent="0.25">
      <c r="A521" s="45"/>
      <c r="B521" s="227"/>
      <c r="C521" s="99"/>
      <c r="D521" s="104">
        <v>2024</v>
      </c>
      <c r="E521" s="102">
        <f t="shared" si="57"/>
        <v>7300</v>
      </c>
      <c r="F521" s="120">
        <v>0</v>
      </c>
      <c r="G521" s="102">
        <f>3500+3800</f>
        <v>7300</v>
      </c>
      <c r="H521" s="102">
        <v>0</v>
      </c>
      <c r="I521" s="102">
        <v>0</v>
      </c>
      <c r="J521" s="102">
        <v>0</v>
      </c>
      <c r="K521" s="103"/>
      <c r="L521" s="149"/>
      <c r="M521" s="57"/>
    </row>
    <row r="522" spans="1:13" ht="23.1" customHeight="1" x14ac:dyDescent="0.25">
      <c r="A522" s="45"/>
      <c r="B522" s="227"/>
      <c r="C522" s="99"/>
      <c r="D522" s="104">
        <v>2025</v>
      </c>
      <c r="E522" s="102">
        <f t="shared" si="57"/>
        <v>0</v>
      </c>
      <c r="F522" s="120">
        <v>0</v>
      </c>
      <c r="G522" s="102">
        <v>0</v>
      </c>
      <c r="H522" s="102">
        <v>0</v>
      </c>
      <c r="I522" s="102">
        <v>0</v>
      </c>
      <c r="J522" s="102">
        <v>0</v>
      </c>
      <c r="K522" s="103"/>
      <c r="L522" s="149"/>
      <c r="M522" s="57"/>
    </row>
    <row r="523" spans="1:13" ht="23.1" customHeight="1" x14ac:dyDescent="0.25">
      <c r="A523" s="46"/>
      <c r="B523" s="228"/>
      <c r="C523" s="107"/>
      <c r="D523" s="104">
        <v>2026</v>
      </c>
      <c r="E523" s="102">
        <f t="shared" ref="E523" si="58">F523+G523+H523+J523</f>
        <v>0</v>
      </c>
      <c r="F523" s="120">
        <v>0</v>
      </c>
      <c r="G523" s="102">
        <v>0</v>
      </c>
      <c r="H523" s="102">
        <v>0</v>
      </c>
      <c r="I523" s="102">
        <v>0</v>
      </c>
      <c r="J523" s="102">
        <v>0</v>
      </c>
      <c r="K523" s="109"/>
      <c r="L523" s="156"/>
      <c r="M523" s="57"/>
    </row>
    <row r="524" spans="1:13" ht="23.1" customHeight="1" thickBot="1" x14ac:dyDescent="0.3">
      <c r="A524" s="47"/>
      <c r="B524" s="229"/>
      <c r="C524" s="111"/>
      <c r="D524" s="159">
        <v>2027</v>
      </c>
      <c r="E524" s="113">
        <f t="shared" si="57"/>
        <v>0</v>
      </c>
      <c r="F524" s="123">
        <v>0</v>
      </c>
      <c r="G524" s="113">
        <v>0</v>
      </c>
      <c r="H524" s="113">
        <v>0</v>
      </c>
      <c r="I524" s="113">
        <v>0</v>
      </c>
      <c r="J524" s="113">
        <v>0</v>
      </c>
      <c r="K524" s="114"/>
      <c r="L524" s="160"/>
      <c r="M524" s="57"/>
    </row>
    <row r="525" spans="1:13" ht="23.1" customHeight="1" x14ac:dyDescent="0.25">
      <c r="A525" s="48" t="s">
        <v>116</v>
      </c>
      <c r="B525" s="226" t="s">
        <v>117</v>
      </c>
      <c r="C525" s="141" t="e">
        <f>#REF!+#REF!+#REF!+#REF!+#REF!+#REF!+#REF!+#REF!</f>
        <v>#REF!</v>
      </c>
      <c r="D525" s="143">
        <v>2018</v>
      </c>
      <c r="E525" s="144">
        <f t="shared" si="57"/>
        <v>6131.5</v>
      </c>
      <c r="F525" s="144">
        <v>0</v>
      </c>
      <c r="G525" s="144">
        <v>0</v>
      </c>
      <c r="H525" s="144">
        <v>6131.5</v>
      </c>
      <c r="I525" s="144">
        <v>0</v>
      </c>
      <c r="J525" s="144">
        <v>0</v>
      </c>
      <c r="K525" s="145" t="s">
        <v>118</v>
      </c>
      <c r="L525" s="146" t="s">
        <v>31</v>
      </c>
      <c r="M525" s="57"/>
    </row>
    <row r="526" spans="1:13" ht="23.1" customHeight="1" x14ac:dyDescent="0.25">
      <c r="A526" s="45"/>
      <c r="B526" s="227"/>
      <c r="C526" s="99"/>
      <c r="D526" s="101">
        <v>2019</v>
      </c>
      <c r="E526" s="102">
        <f t="shared" si="57"/>
        <v>1236.5</v>
      </c>
      <c r="F526" s="102">
        <v>0</v>
      </c>
      <c r="G526" s="102">
        <v>0</v>
      </c>
      <c r="H526" s="102">
        <v>1236.5</v>
      </c>
      <c r="I526" s="102">
        <v>0</v>
      </c>
      <c r="J526" s="102">
        <v>0</v>
      </c>
      <c r="K526" s="103"/>
      <c r="L526" s="149"/>
      <c r="M526" s="57"/>
    </row>
    <row r="527" spans="1:13" ht="23.1" customHeight="1" x14ac:dyDescent="0.25">
      <c r="A527" s="45"/>
      <c r="B527" s="227"/>
      <c r="C527" s="99"/>
      <c r="D527" s="104">
        <v>2020</v>
      </c>
      <c r="E527" s="102">
        <f t="shared" si="57"/>
        <v>3843.7</v>
      </c>
      <c r="F527" s="120">
        <v>0</v>
      </c>
      <c r="G527" s="102">
        <v>0</v>
      </c>
      <c r="H527" s="102">
        <v>3843.7</v>
      </c>
      <c r="I527" s="102">
        <v>0</v>
      </c>
      <c r="J527" s="102">
        <v>0</v>
      </c>
      <c r="K527" s="103"/>
      <c r="L527" s="149"/>
      <c r="M527" s="57"/>
    </row>
    <row r="528" spans="1:13" ht="23.1" customHeight="1" x14ac:dyDescent="0.25">
      <c r="A528" s="45"/>
      <c r="B528" s="227"/>
      <c r="C528" s="99"/>
      <c r="D528" s="104">
        <v>2021</v>
      </c>
      <c r="E528" s="102">
        <f t="shared" si="57"/>
        <v>19916.3</v>
      </c>
      <c r="F528" s="120">
        <v>0</v>
      </c>
      <c r="G528" s="102">
        <v>0</v>
      </c>
      <c r="H528" s="102">
        <v>19916.3</v>
      </c>
      <c r="I528" s="102">
        <v>0</v>
      </c>
      <c r="J528" s="102">
        <v>0</v>
      </c>
      <c r="K528" s="103"/>
      <c r="L528" s="149"/>
      <c r="M528" s="57"/>
    </row>
    <row r="529" spans="1:13" ht="23.1" customHeight="1" x14ac:dyDescent="0.25">
      <c r="A529" s="45"/>
      <c r="B529" s="227"/>
      <c r="C529" s="99"/>
      <c r="D529" s="104">
        <v>2022</v>
      </c>
      <c r="E529" s="102">
        <f t="shared" si="57"/>
        <v>41671.30000000001</v>
      </c>
      <c r="F529" s="120">
        <v>0</v>
      </c>
      <c r="G529" s="102">
        <v>0</v>
      </c>
      <c r="H529" s="102">
        <f>37419.8+67.8+938.6+382.5+9.1+98.1+341.4+754+1076.4+300+741.4+929.4+458.2+555.9+451.4+79.5-301.5+186.4-2817.1</f>
        <v>41671.30000000001</v>
      </c>
      <c r="I529" s="102">
        <v>0</v>
      </c>
      <c r="J529" s="102">
        <v>0</v>
      </c>
      <c r="K529" s="103"/>
      <c r="L529" s="149"/>
      <c r="M529" s="57"/>
    </row>
    <row r="530" spans="1:13" ht="23.1" customHeight="1" x14ac:dyDescent="0.25">
      <c r="A530" s="45"/>
      <c r="B530" s="227"/>
      <c r="C530" s="99"/>
      <c r="D530" s="104">
        <v>2023</v>
      </c>
      <c r="E530" s="102">
        <f t="shared" si="57"/>
        <v>35816.800000000003</v>
      </c>
      <c r="F530" s="120">
        <v>0</v>
      </c>
      <c r="G530" s="102">
        <v>0</v>
      </c>
      <c r="H530" s="102">
        <f>18731.2-1923.4+4662.5-379.3-1786.1+3828.5+1500+183.8+3000+300+120+450+381.1+60-271+58.5-305+305+6901</f>
        <v>35816.800000000003</v>
      </c>
      <c r="I530" s="102">
        <v>0</v>
      </c>
      <c r="J530" s="102">
        <v>0</v>
      </c>
      <c r="K530" s="103"/>
      <c r="L530" s="149"/>
      <c r="M530" s="57"/>
    </row>
    <row r="531" spans="1:13" ht="23.1" customHeight="1" x14ac:dyDescent="0.25">
      <c r="A531" s="45"/>
      <c r="B531" s="227"/>
      <c r="C531" s="99"/>
      <c r="D531" s="104">
        <v>2024</v>
      </c>
      <c r="E531" s="102">
        <f t="shared" si="57"/>
        <v>46457.200000000004</v>
      </c>
      <c r="F531" s="120">
        <v>0</v>
      </c>
      <c r="G531" s="102">
        <v>0</v>
      </c>
      <c r="H531" s="121">
        <f>17685.2+12538.9+14566.7+285.8+96-354.3-609.6+2249+120+246-395-354.5+443.7+318+395+354.5-443.7-318+420+1874.9-748-154+154-1913.4</f>
        <v>46457.200000000004</v>
      </c>
      <c r="I531" s="102">
        <v>0</v>
      </c>
      <c r="J531" s="102">
        <v>0</v>
      </c>
      <c r="K531" s="103"/>
      <c r="L531" s="149"/>
      <c r="M531" s="57"/>
    </row>
    <row r="532" spans="1:13" ht="23.1" customHeight="1" x14ac:dyDescent="0.25">
      <c r="A532" s="45"/>
      <c r="B532" s="227"/>
      <c r="C532" s="99"/>
      <c r="D532" s="104">
        <v>2025</v>
      </c>
      <c r="E532" s="102">
        <f t="shared" si="57"/>
        <v>22016.3</v>
      </c>
      <c r="F532" s="120">
        <v>0</v>
      </c>
      <c r="G532" s="102">
        <v>0</v>
      </c>
      <c r="H532" s="121">
        <v>22016.3</v>
      </c>
      <c r="I532" s="102">
        <v>0</v>
      </c>
      <c r="J532" s="102">
        <v>0</v>
      </c>
      <c r="K532" s="103"/>
      <c r="L532" s="149"/>
      <c r="M532" s="57"/>
    </row>
    <row r="533" spans="1:13" ht="23.1" customHeight="1" x14ac:dyDescent="0.25">
      <c r="A533" s="46"/>
      <c r="B533" s="228"/>
      <c r="C533" s="107"/>
      <c r="D533" s="104">
        <v>2026</v>
      </c>
      <c r="E533" s="102">
        <f t="shared" ref="E533" si="59">F533+G533+H533+J533</f>
        <v>22016.3</v>
      </c>
      <c r="F533" s="120">
        <v>0</v>
      </c>
      <c r="G533" s="102">
        <v>0</v>
      </c>
      <c r="H533" s="121">
        <v>22016.3</v>
      </c>
      <c r="I533" s="102">
        <v>0</v>
      </c>
      <c r="J533" s="102">
        <v>0</v>
      </c>
      <c r="K533" s="109"/>
      <c r="L533" s="156"/>
      <c r="M533" s="57"/>
    </row>
    <row r="534" spans="1:13" ht="23.1" customHeight="1" thickBot="1" x14ac:dyDescent="0.3">
      <c r="A534" s="47"/>
      <c r="B534" s="229"/>
      <c r="C534" s="111"/>
      <c r="D534" s="159">
        <v>2027</v>
      </c>
      <c r="E534" s="113">
        <f t="shared" si="57"/>
        <v>22016.3</v>
      </c>
      <c r="F534" s="123">
        <v>0</v>
      </c>
      <c r="G534" s="113">
        <v>0</v>
      </c>
      <c r="H534" s="124">
        <v>22016.3</v>
      </c>
      <c r="I534" s="113">
        <v>0</v>
      </c>
      <c r="J534" s="113">
        <v>0</v>
      </c>
      <c r="K534" s="114"/>
      <c r="L534" s="160"/>
      <c r="M534" s="57"/>
    </row>
    <row r="535" spans="1:13" ht="21.95" customHeight="1" x14ac:dyDescent="0.25">
      <c r="A535" s="48" t="s">
        <v>120</v>
      </c>
      <c r="B535" s="226" t="s">
        <v>119</v>
      </c>
      <c r="C535" s="141" t="e">
        <f>#REF!+#REF!+#REF!+#REF!+#REF!+#REF!+#REF!+#REF!</f>
        <v>#REF!</v>
      </c>
      <c r="D535" s="143">
        <v>2018</v>
      </c>
      <c r="E535" s="144">
        <f t="shared" si="57"/>
        <v>0</v>
      </c>
      <c r="F535" s="144">
        <v>0</v>
      </c>
      <c r="G535" s="144">
        <v>0</v>
      </c>
      <c r="H535" s="144">
        <v>0</v>
      </c>
      <c r="I535" s="144">
        <v>0</v>
      </c>
      <c r="J535" s="144">
        <v>0</v>
      </c>
      <c r="K535" s="145" t="s">
        <v>121</v>
      </c>
      <c r="L535" s="146" t="s">
        <v>31</v>
      </c>
      <c r="M535" s="57"/>
    </row>
    <row r="536" spans="1:13" ht="21.95" customHeight="1" x14ac:dyDescent="0.25">
      <c r="A536" s="45"/>
      <c r="B536" s="227"/>
      <c r="C536" s="99"/>
      <c r="D536" s="101">
        <v>2019</v>
      </c>
      <c r="E536" s="102">
        <f t="shared" si="57"/>
        <v>0</v>
      </c>
      <c r="F536" s="102">
        <v>0</v>
      </c>
      <c r="G536" s="102">
        <v>0</v>
      </c>
      <c r="H536" s="102">
        <v>0</v>
      </c>
      <c r="I536" s="102">
        <v>0</v>
      </c>
      <c r="J536" s="102">
        <v>0</v>
      </c>
      <c r="K536" s="103"/>
      <c r="L536" s="149"/>
      <c r="M536" s="57"/>
    </row>
    <row r="537" spans="1:13" ht="21.95" customHeight="1" x14ac:dyDescent="0.25">
      <c r="A537" s="45"/>
      <c r="B537" s="227"/>
      <c r="C537" s="99"/>
      <c r="D537" s="104">
        <v>2020</v>
      </c>
      <c r="E537" s="102">
        <f t="shared" si="57"/>
        <v>0</v>
      </c>
      <c r="F537" s="120">
        <v>0</v>
      </c>
      <c r="G537" s="102">
        <v>0</v>
      </c>
      <c r="H537" s="102">
        <v>0</v>
      </c>
      <c r="I537" s="102">
        <v>0</v>
      </c>
      <c r="J537" s="102">
        <v>0</v>
      </c>
      <c r="K537" s="103"/>
      <c r="L537" s="149"/>
      <c r="M537" s="57"/>
    </row>
    <row r="538" spans="1:13" ht="21.95" customHeight="1" x14ac:dyDescent="0.25">
      <c r="A538" s="45"/>
      <c r="B538" s="227"/>
      <c r="C538" s="99"/>
      <c r="D538" s="104">
        <v>2021</v>
      </c>
      <c r="E538" s="102">
        <f t="shared" si="57"/>
        <v>900</v>
      </c>
      <c r="F538" s="120">
        <v>0</v>
      </c>
      <c r="G538" s="102">
        <v>0</v>
      </c>
      <c r="H538" s="102">
        <v>900</v>
      </c>
      <c r="I538" s="102">
        <v>0</v>
      </c>
      <c r="J538" s="102">
        <v>0</v>
      </c>
      <c r="K538" s="103"/>
      <c r="L538" s="149"/>
      <c r="M538" s="57"/>
    </row>
    <row r="539" spans="1:13" ht="21.95" customHeight="1" x14ac:dyDescent="0.25">
      <c r="A539" s="45"/>
      <c r="B539" s="227"/>
      <c r="C539" s="99"/>
      <c r="D539" s="104">
        <v>2022</v>
      </c>
      <c r="E539" s="102">
        <f t="shared" si="57"/>
        <v>1016.1</v>
      </c>
      <c r="F539" s="120">
        <v>0</v>
      </c>
      <c r="G539" s="102">
        <v>0</v>
      </c>
      <c r="H539" s="102">
        <v>1016.1</v>
      </c>
      <c r="I539" s="102">
        <v>0</v>
      </c>
      <c r="J539" s="102">
        <v>0</v>
      </c>
      <c r="K539" s="103"/>
      <c r="L539" s="149"/>
      <c r="M539" s="57"/>
    </row>
    <row r="540" spans="1:13" ht="21.95" customHeight="1" x14ac:dyDescent="0.25">
      <c r="A540" s="45"/>
      <c r="B540" s="227"/>
      <c r="C540" s="99"/>
      <c r="D540" s="104">
        <v>2023</v>
      </c>
      <c r="E540" s="102">
        <f t="shared" si="57"/>
        <v>1000</v>
      </c>
      <c r="F540" s="120">
        <v>0</v>
      </c>
      <c r="G540" s="102">
        <v>0</v>
      </c>
      <c r="H540" s="102">
        <v>1000</v>
      </c>
      <c r="I540" s="102">
        <v>0</v>
      </c>
      <c r="J540" s="102">
        <v>0</v>
      </c>
      <c r="K540" s="103"/>
      <c r="L540" s="149"/>
      <c r="M540" s="57"/>
    </row>
    <row r="541" spans="1:13" ht="21.95" customHeight="1" x14ac:dyDescent="0.25">
      <c r="A541" s="45"/>
      <c r="B541" s="227"/>
      <c r="C541" s="99"/>
      <c r="D541" s="104">
        <v>2024</v>
      </c>
      <c r="E541" s="102">
        <f t="shared" si="57"/>
        <v>1000</v>
      </c>
      <c r="F541" s="120">
        <v>0</v>
      </c>
      <c r="G541" s="102">
        <v>0</v>
      </c>
      <c r="H541" s="121">
        <v>1000</v>
      </c>
      <c r="I541" s="102">
        <v>0</v>
      </c>
      <c r="J541" s="102">
        <v>0</v>
      </c>
      <c r="K541" s="103"/>
      <c r="L541" s="149"/>
      <c r="M541" s="57"/>
    </row>
    <row r="542" spans="1:13" ht="21.95" customHeight="1" x14ac:dyDescent="0.25">
      <c r="A542" s="45"/>
      <c r="B542" s="227"/>
      <c r="C542" s="99"/>
      <c r="D542" s="104">
        <v>2025</v>
      </c>
      <c r="E542" s="102">
        <f t="shared" si="57"/>
        <v>8439.4</v>
      </c>
      <c r="F542" s="120">
        <v>0</v>
      </c>
      <c r="G542" s="102">
        <v>0</v>
      </c>
      <c r="H542" s="121">
        <v>8439.4</v>
      </c>
      <c r="I542" s="102">
        <v>0</v>
      </c>
      <c r="J542" s="102">
        <v>0</v>
      </c>
      <c r="K542" s="103"/>
      <c r="L542" s="149"/>
      <c r="M542" s="57"/>
    </row>
    <row r="543" spans="1:13" ht="21.95" customHeight="1" x14ac:dyDescent="0.25">
      <c r="A543" s="46"/>
      <c r="B543" s="228"/>
      <c r="C543" s="107"/>
      <c r="D543" s="104">
        <v>2026</v>
      </c>
      <c r="E543" s="102">
        <f t="shared" ref="E543" si="60">F543+G543+H543+J543</f>
        <v>8439.4</v>
      </c>
      <c r="F543" s="120">
        <v>0</v>
      </c>
      <c r="G543" s="102">
        <v>0</v>
      </c>
      <c r="H543" s="121">
        <v>8439.4</v>
      </c>
      <c r="I543" s="102">
        <v>0</v>
      </c>
      <c r="J543" s="102">
        <v>0</v>
      </c>
      <c r="K543" s="109"/>
      <c r="L543" s="156"/>
      <c r="M543" s="57"/>
    </row>
    <row r="544" spans="1:13" ht="21.95" customHeight="1" thickBot="1" x14ac:dyDescent="0.3">
      <c r="A544" s="47"/>
      <c r="B544" s="229"/>
      <c r="C544" s="111"/>
      <c r="D544" s="159">
        <v>2027</v>
      </c>
      <c r="E544" s="113">
        <f t="shared" si="57"/>
        <v>8439.4</v>
      </c>
      <c r="F544" s="123">
        <v>0</v>
      </c>
      <c r="G544" s="113">
        <v>0</v>
      </c>
      <c r="H544" s="124">
        <v>8439.4</v>
      </c>
      <c r="I544" s="113">
        <v>0</v>
      </c>
      <c r="J544" s="113">
        <v>0</v>
      </c>
      <c r="K544" s="114"/>
      <c r="L544" s="160"/>
      <c r="M544" s="57"/>
    </row>
    <row r="545" spans="1:13" ht="21.95" customHeight="1" x14ac:dyDescent="0.25">
      <c r="A545" s="48" t="s">
        <v>198</v>
      </c>
      <c r="B545" s="226" t="s">
        <v>122</v>
      </c>
      <c r="C545" s="141" t="e">
        <f>#REF!+#REF!+#REF!+#REF!+#REF!+#REF!+#REF!+#REF!</f>
        <v>#REF!</v>
      </c>
      <c r="D545" s="143">
        <v>2018</v>
      </c>
      <c r="E545" s="144">
        <f t="shared" si="57"/>
        <v>0</v>
      </c>
      <c r="F545" s="144">
        <v>0</v>
      </c>
      <c r="G545" s="144">
        <v>0</v>
      </c>
      <c r="H545" s="144">
        <v>0</v>
      </c>
      <c r="I545" s="144">
        <v>0</v>
      </c>
      <c r="J545" s="144">
        <v>0</v>
      </c>
      <c r="K545" s="145" t="s">
        <v>123</v>
      </c>
      <c r="L545" s="146" t="s">
        <v>31</v>
      </c>
      <c r="M545" s="57"/>
    </row>
    <row r="546" spans="1:13" ht="21.95" customHeight="1" x14ac:dyDescent="0.25">
      <c r="A546" s="45"/>
      <c r="B546" s="227"/>
      <c r="C546" s="99"/>
      <c r="D546" s="101">
        <v>2019</v>
      </c>
      <c r="E546" s="102">
        <f t="shared" si="57"/>
        <v>0</v>
      </c>
      <c r="F546" s="102">
        <v>0</v>
      </c>
      <c r="G546" s="102">
        <v>0</v>
      </c>
      <c r="H546" s="102">
        <v>0</v>
      </c>
      <c r="I546" s="102">
        <v>0</v>
      </c>
      <c r="J546" s="102">
        <v>0</v>
      </c>
      <c r="K546" s="103"/>
      <c r="L546" s="149"/>
      <c r="M546" s="57"/>
    </row>
    <row r="547" spans="1:13" ht="21.95" customHeight="1" x14ac:dyDescent="0.25">
      <c r="A547" s="45"/>
      <c r="B547" s="227"/>
      <c r="C547" s="99"/>
      <c r="D547" s="104">
        <v>2020</v>
      </c>
      <c r="E547" s="102">
        <f t="shared" si="57"/>
        <v>0</v>
      </c>
      <c r="F547" s="120">
        <v>0</v>
      </c>
      <c r="G547" s="102">
        <v>0</v>
      </c>
      <c r="H547" s="102">
        <v>0</v>
      </c>
      <c r="I547" s="102">
        <v>0</v>
      </c>
      <c r="J547" s="102">
        <v>0</v>
      </c>
      <c r="K547" s="103"/>
      <c r="L547" s="149"/>
      <c r="M547" s="57"/>
    </row>
    <row r="548" spans="1:13" ht="21.95" customHeight="1" x14ac:dyDescent="0.25">
      <c r="A548" s="45"/>
      <c r="B548" s="227"/>
      <c r="C548" s="99"/>
      <c r="D548" s="104">
        <v>2021</v>
      </c>
      <c r="E548" s="102">
        <f t="shared" si="57"/>
        <v>0</v>
      </c>
      <c r="F548" s="120">
        <v>0</v>
      </c>
      <c r="G548" s="102">
        <v>0</v>
      </c>
      <c r="H548" s="102">
        <v>0</v>
      </c>
      <c r="I548" s="102">
        <v>0</v>
      </c>
      <c r="J548" s="102">
        <v>0</v>
      </c>
      <c r="K548" s="103"/>
      <c r="L548" s="149"/>
      <c r="M548" s="57"/>
    </row>
    <row r="549" spans="1:13" ht="21.95" customHeight="1" x14ac:dyDescent="0.25">
      <c r="A549" s="45"/>
      <c r="B549" s="227"/>
      <c r="C549" s="99"/>
      <c r="D549" s="104">
        <v>2022</v>
      </c>
      <c r="E549" s="102">
        <f t="shared" si="57"/>
        <v>0</v>
      </c>
      <c r="F549" s="120">
        <v>0</v>
      </c>
      <c r="G549" s="102">
        <v>0</v>
      </c>
      <c r="H549" s="102">
        <v>0</v>
      </c>
      <c r="I549" s="102">
        <v>0</v>
      </c>
      <c r="J549" s="102">
        <v>0</v>
      </c>
      <c r="K549" s="103"/>
      <c r="L549" s="149"/>
      <c r="M549" s="57"/>
    </row>
    <row r="550" spans="1:13" ht="21.95" customHeight="1" x14ac:dyDescent="0.25">
      <c r="A550" s="45"/>
      <c r="B550" s="227"/>
      <c r="C550" s="99"/>
      <c r="D550" s="104">
        <v>2023</v>
      </c>
      <c r="E550" s="102">
        <f t="shared" si="57"/>
        <v>0</v>
      </c>
      <c r="F550" s="120">
        <v>0</v>
      </c>
      <c r="G550" s="102">
        <v>0</v>
      </c>
      <c r="H550" s="102">
        <v>0</v>
      </c>
      <c r="I550" s="102">
        <v>0</v>
      </c>
      <c r="J550" s="102">
        <v>0</v>
      </c>
      <c r="K550" s="103"/>
      <c r="L550" s="149"/>
      <c r="M550" s="57"/>
    </row>
    <row r="551" spans="1:13" ht="21.95" customHeight="1" x14ac:dyDescent="0.25">
      <c r="A551" s="45"/>
      <c r="B551" s="227"/>
      <c r="C551" s="99"/>
      <c r="D551" s="104">
        <v>2024</v>
      </c>
      <c r="E551" s="102">
        <f t="shared" si="57"/>
        <v>0</v>
      </c>
      <c r="F551" s="120">
        <v>0</v>
      </c>
      <c r="G551" s="102">
        <v>0</v>
      </c>
      <c r="H551" s="102">
        <v>0</v>
      </c>
      <c r="I551" s="102">
        <v>0</v>
      </c>
      <c r="J551" s="102">
        <v>0</v>
      </c>
      <c r="K551" s="103"/>
      <c r="L551" s="149"/>
      <c r="M551" s="57"/>
    </row>
    <row r="552" spans="1:13" ht="21.95" customHeight="1" x14ac:dyDescent="0.25">
      <c r="A552" s="45"/>
      <c r="B552" s="227"/>
      <c r="C552" s="99"/>
      <c r="D552" s="104">
        <v>2025</v>
      </c>
      <c r="E552" s="102">
        <f t="shared" si="57"/>
        <v>0</v>
      </c>
      <c r="F552" s="120">
        <v>0</v>
      </c>
      <c r="G552" s="102">
        <v>0</v>
      </c>
      <c r="H552" s="102">
        <v>0</v>
      </c>
      <c r="I552" s="102">
        <v>0</v>
      </c>
      <c r="J552" s="102">
        <v>0</v>
      </c>
      <c r="K552" s="103"/>
      <c r="L552" s="149"/>
      <c r="M552" s="57"/>
    </row>
    <row r="553" spans="1:13" ht="21.95" customHeight="1" x14ac:dyDescent="0.25">
      <c r="A553" s="46"/>
      <c r="B553" s="228"/>
      <c r="C553" s="107"/>
      <c r="D553" s="108">
        <v>2026</v>
      </c>
      <c r="E553" s="102">
        <f t="shared" ref="E553" si="61">F553+G553+H553+J553</f>
        <v>0</v>
      </c>
      <c r="F553" s="120">
        <v>0</v>
      </c>
      <c r="G553" s="102">
        <v>0</v>
      </c>
      <c r="H553" s="102">
        <v>0</v>
      </c>
      <c r="I553" s="102">
        <v>0</v>
      </c>
      <c r="J553" s="102">
        <v>0</v>
      </c>
      <c r="K553" s="109"/>
      <c r="L553" s="156"/>
      <c r="M553" s="57"/>
    </row>
    <row r="554" spans="1:13" ht="21.95" customHeight="1" thickBot="1" x14ac:dyDescent="0.3">
      <c r="A554" s="47"/>
      <c r="B554" s="229"/>
      <c r="C554" s="111"/>
      <c r="D554" s="122">
        <v>2027</v>
      </c>
      <c r="E554" s="113">
        <f t="shared" si="57"/>
        <v>0</v>
      </c>
      <c r="F554" s="123">
        <v>0</v>
      </c>
      <c r="G554" s="113">
        <v>0</v>
      </c>
      <c r="H554" s="113">
        <v>0</v>
      </c>
      <c r="I554" s="113">
        <v>0</v>
      </c>
      <c r="J554" s="113">
        <v>0</v>
      </c>
      <c r="K554" s="114"/>
      <c r="L554" s="160"/>
      <c r="M554" s="57"/>
    </row>
    <row r="555" spans="1:13" ht="24.95" customHeight="1" x14ac:dyDescent="0.25">
      <c r="A555" s="48" t="s">
        <v>124</v>
      </c>
      <c r="B555" s="226" t="s">
        <v>125</v>
      </c>
      <c r="C555" s="141" t="e">
        <f>#REF!+#REF!+#REF!+#REF!+#REF!+#REF!+#REF!+#REF!</f>
        <v>#REF!</v>
      </c>
      <c r="D555" s="143">
        <v>2018</v>
      </c>
      <c r="E555" s="144">
        <f t="shared" si="57"/>
        <v>30774.899999999998</v>
      </c>
      <c r="F555" s="144">
        <v>0</v>
      </c>
      <c r="G555" s="144">
        <v>29236.1</v>
      </c>
      <c r="H555" s="144">
        <v>1538.8</v>
      </c>
      <c r="I555" s="144">
        <v>1538.8</v>
      </c>
      <c r="J555" s="144">
        <v>0</v>
      </c>
      <c r="K555" s="145" t="s">
        <v>126</v>
      </c>
      <c r="L555" s="146" t="s">
        <v>127</v>
      </c>
      <c r="M555" s="57"/>
    </row>
    <row r="556" spans="1:13" ht="24.95" customHeight="1" x14ac:dyDescent="0.25">
      <c r="A556" s="45"/>
      <c r="B556" s="227"/>
      <c r="C556" s="99"/>
      <c r="D556" s="101">
        <v>2019</v>
      </c>
      <c r="E556" s="102">
        <f t="shared" si="57"/>
        <v>0</v>
      </c>
      <c r="F556" s="102">
        <v>0</v>
      </c>
      <c r="G556" s="102">
        <v>0</v>
      </c>
      <c r="H556" s="102">
        <v>0</v>
      </c>
      <c r="I556" s="102">
        <v>0</v>
      </c>
      <c r="J556" s="102">
        <v>0</v>
      </c>
      <c r="K556" s="103"/>
      <c r="L556" s="149"/>
      <c r="M556" s="57"/>
    </row>
    <row r="557" spans="1:13" ht="24.95" customHeight="1" x14ac:dyDescent="0.25">
      <c r="A557" s="45"/>
      <c r="B557" s="227"/>
      <c r="C557" s="99"/>
      <c r="D557" s="104">
        <v>2020</v>
      </c>
      <c r="E557" s="102">
        <f t="shared" si="57"/>
        <v>0</v>
      </c>
      <c r="F557" s="120">
        <v>0</v>
      </c>
      <c r="G557" s="102">
        <v>0</v>
      </c>
      <c r="H557" s="102">
        <v>0</v>
      </c>
      <c r="I557" s="102">
        <v>0</v>
      </c>
      <c r="J557" s="102">
        <v>0</v>
      </c>
      <c r="K557" s="103"/>
      <c r="L557" s="149"/>
      <c r="M557" s="57"/>
    </row>
    <row r="558" spans="1:13" ht="24.95" customHeight="1" x14ac:dyDescent="0.25">
      <c r="A558" s="45"/>
      <c r="B558" s="227"/>
      <c r="C558" s="99"/>
      <c r="D558" s="104">
        <v>2021</v>
      </c>
      <c r="E558" s="102">
        <f t="shared" si="57"/>
        <v>0</v>
      </c>
      <c r="F558" s="120">
        <v>0</v>
      </c>
      <c r="G558" s="102">
        <v>0</v>
      </c>
      <c r="H558" s="102">
        <v>0</v>
      </c>
      <c r="I558" s="102">
        <v>0</v>
      </c>
      <c r="J558" s="102">
        <v>0</v>
      </c>
      <c r="K558" s="103"/>
      <c r="L558" s="149"/>
      <c r="M558" s="57"/>
    </row>
    <row r="559" spans="1:13" ht="24.95" customHeight="1" x14ac:dyDescent="0.25">
      <c r="A559" s="45"/>
      <c r="B559" s="227"/>
      <c r="C559" s="99"/>
      <c r="D559" s="104">
        <v>2022</v>
      </c>
      <c r="E559" s="102">
        <f t="shared" si="57"/>
        <v>30000</v>
      </c>
      <c r="F559" s="120">
        <v>0</v>
      </c>
      <c r="G559" s="102">
        <v>18000</v>
      </c>
      <c r="H559" s="102">
        <v>12000</v>
      </c>
      <c r="I559" s="102">
        <v>12000</v>
      </c>
      <c r="J559" s="102">
        <v>0</v>
      </c>
      <c r="K559" s="103"/>
      <c r="L559" s="149"/>
      <c r="M559" s="57"/>
    </row>
    <row r="560" spans="1:13" ht="24.95" customHeight="1" x14ac:dyDescent="0.25">
      <c r="A560" s="45"/>
      <c r="B560" s="227"/>
      <c r="C560" s="99"/>
      <c r="D560" s="104">
        <v>2023</v>
      </c>
      <c r="E560" s="102">
        <f t="shared" si="57"/>
        <v>0</v>
      </c>
      <c r="F560" s="120">
        <v>0</v>
      </c>
      <c r="G560" s="102">
        <v>0</v>
      </c>
      <c r="H560" s="102">
        <v>0</v>
      </c>
      <c r="I560" s="102">
        <v>0</v>
      </c>
      <c r="J560" s="102">
        <v>0</v>
      </c>
      <c r="K560" s="103"/>
      <c r="L560" s="149"/>
      <c r="M560" s="57"/>
    </row>
    <row r="561" spans="1:13" ht="24.95" customHeight="1" x14ac:dyDescent="0.25">
      <c r="A561" s="45"/>
      <c r="B561" s="227"/>
      <c r="C561" s="99"/>
      <c r="D561" s="104">
        <v>2024</v>
      </c>
      <c r="E561" s="102">
        <f t="shared" si="57"/>
        <v>0</v>
      </c>
      <c r="F561" s="120">
        <v>0</v>
      </c>
      <c r="G561" s="102">
        <v>0</v>
      </c>
      <c r="H561" s="102">
        <v>0</v>
      </c>
      <c r="I561" s="102">
        <v>0</v>
      </c>
      <c r="J561" s="102">
        <v>0</v>
      </c>
      <c r="K561" s="103"/>
      <c r="L561" s="149"/>
      <c r="M561" s="57"/>
    </row>
    <row r="562" spans="1:13" ht="24.95" customHeight="1" x14ac:dyDescent="0.25">
      <c r="A562" s="45"/>
      <c r="B562" s="227"/>
      <c r="C562" s="99"/>
      <c r="D562" s="104">
        <v>2025</v>
      </c>
      <c r="E562" s="102">
        <f t="shared" si="57"/>
        <v>0</v>
      </c>
      <c r="F562" s="120">
        <v>0</v>
      </c>
      <c r="G562" s="102">
        <v>0</v>
      </c>
      <c r="H562" s="102">
        <v>0</v>
      </c>
      <c r="I562" s="102">
        <v>0</v>
      </c>
      <c r="J562" s="102">
        <v>0</v>
      </c>
      <c r="K562" s="103"/>
      <c r="L562" s="149"/>
      <c r="M562" s="57"/>
    </row>
    <row r="563" spans="1:13" ht="24.95" customHeight="1" x14ac:dyDescent="0.25">
      <c r="A563" s="46"/>
      <c r="B563" s="228"/>
      <c r="C563" s="107"/>
      <c r="D563" s="104">
        <v>2026</v>
      </c>
      <c r="E563" s="102">
        <f t="shared" ref="E563" si="62">F563+G563+H563+J563</f>
        <v>0</v>
      </c>
      <c r="F563" s="120">
        <v>0</v>
      </c>
      <c r="G563" s="102">
        <v>0</v>
      </c>
      <c r="H563" s="102">
        <v>0</v>
      </c>
      <c r="I563" s="102">
        <v>0</v>
      </c>
      <c r="J563" s="102">
        <v>0</v>
      </c>
      <c r="K563" s="109"/>
      <c r="L563" s="156"/>
      <c r="M563" s="57"/>
    </row>
    <row r="564" spans="1:13" ht="24.95" customHeight="1" thickBot="1" x14ac:dyDescent="0.3">
      <c r="A564" s="47"/>
      <c r="B564" s="229"/>
      <c r="C564" s="111"/>
      <c r="D564" s="159">
        <v>2027</v>
      </c>
      <c r="E564" s="113">
        <f t="shared" si="57"/>
        <v>0</v>
      </c>
      <c r="F564" s="123">
        <v>0</v>
      </c>
      <c r="G564" s="113">
        <v>0</v>
      </c>
      <c r="H564" s="113">
        <v>0</v>
      </c>
      <c r="I564" s="113">
        <v>0</v>
      </c>
      <c r="J564" s="113">
        <v>0</v>
      </c>
      <c r="K564" s="114"/>
      <c r="L564" s="160"/>
      <c r="M564" s="57"/>
    </row>
    <row r="565" spans="1:13" ht="24.95" customHeight="1" x14ac:dyDescent="0.25">
      <c r="A565" s="48" t="s">
        <v>128</v>
      </c>
      <c r="B565" s="226" t="s">
        <v>129</v>
      </c>
      <c r="C565" s="141" t="e">
        <f>#REF!+#REF!+#REF!+#REF!+#REF!+#REF!+#REF!+#REF!</f>
        <v>#REF!</v>
      </c>
      <c r="D565" s="143">
        <v>2018</v>
      </c>
      <c r="E565" s="144">
        <f t="shared" si="57"/>
        <v>0</v>
      </c>
      <c r="F565" s="144">
        <v>0</v>
      </c>
      <c r="G565" s="144">
        <v>0</v>
      </c>
      <c r="H565" s="144">
        <v>0</v>
      </c>
      <c r="I565" s="144">
        <v>0</v>
      </c>
      <c r="J565" s="144">
        <v>0</v>
      </c>
      <c r="K565" s="145" t="s">
        <v>130</v>
      </c>
      <c r="L565" s="146" t="s">
        <v>6</v>
      </c>
      <c r="M565" s="57"/>
    </row>
    <row r="566" spans="1:13" ht="24.95" customHeight="1" x14ac:dyDescent="0.25">
      <c r="A566" s="45"/>
      <c r="B566" s="227"/>
      <c r="C566" s="99"/>
      <c r="D566" s="101">
        <v>2019</v>
      </c>
      <c r="E566" s="102">
        <f t="shared" si="57"/>
        <v>4322</v>
      </c>
      <c r="F566" s="102">
        <v>0</v>
      </c>
      <c r="G566" s="102">
        <v>4105.8999999999996</v>
      </c>
      <c r="H566" s="102">
        <v>216.1</v>
      </c>
      <c r="I566" s="102">
        <v>216.1</v>
      </c>
      <c r="J566" s="102">
        <v>0</v>
      </c>
      <c r="K566" s="103"/>
      <c r="L566" s="149"/>
      <c r="M566" s="57"/>
    </row>
    <row r="567" spans="1:13" ht="24.95" customHeight="1" x14ac:dyDescent="0.25">
      <c r="A567" s="45"/>
      <c r="B567" s="227"/>
      <c r="C567" s="99"/>
      <c r="D567" s="104">
        <v>2020</v>
      </c>
      <c r="E567" s="102">
        <f t="shared" si="57"/>
        <v>0</v>
      </c>
      <c r="F567" s="120">
        <v>0</v>
      </c>
      <c r="G567" s="102">
        <v>0</v>
      </c>
      <c r="H567" s="102">
        <v>0</v>
      </c>
      <c r="I567" s="102">
        <v>0</v>
      </c>
      <c r="J567" s="102">
        <v>0</v>
      </c>
      <c r="K567" s="103"/>
      <c r="L567" s="149"/>
      <c r="M567" s="57"/>
    </row>
    <row r="568" spans="1:13" ht="24.95" customHeight="1" x14ac:dyDescent="0.25">
      <c r="A568" s="45"/>
      <c r="B568" s="227"/>
      <c r="C568" s="99"/>
      <c r="D568" s="104">
        <v>2021</v>
      </c>
      <c r="E568" s="102">
        <f t="shared" si="57"/>
        <v>0</v>
      </c>
      <c r="F568" s="120">
        <v>0</v>
      </c>
      <c r="G568" s="102">
        <v>0</v>
      </c>
      <c r="H568" s="102">
        <v>0</v>
      </c>
      <c r="I568" s="102">
        <v>0</v>
      </c>
      <c r="J568" s="102">
        <v>0</v>
      </c>
      <c r="K568" s="103"/>
      <c r="L568" s="149"/>
      <c r="M568" s="57"/>
    </row>
    <row r="569" spans="1:13" ht="24.95" customHeight="1" x14ac:dyDescent="0.25">
      <c r="A569" s="45"/>
      <c r="B569" s="227"/>
      <c r="C569" s="99"/>
      <c r="D569" s="104">
        <v>2022</v>
      </c>
      <c r="E569" s="102">
        <f t="shared" si="57"/>
        <v>0</v>
      </c>
      <c r="F569" s="120">
        <v>0</v>
      </c>
      <c r="G569" s="102">
        <v>0</v>
      </c>
      <c r="H569" s="102">
        <v>0</v>
      </c>
      <c r="I569" s="102">
        <v>0</v>
      </c>
      <c r="J569" s="102">
        <v>0</v>
      </c>
      <c r="K569" s="103"/>
      <c r="L569" s="149"/>
      <c r="M569" s="57"/>
    </row>
    <row r="570" spans="1:13" ht="24.95" customHeight="1" x14ac:dyDescent="0.25">
      <c r="A570" s="45"/>
      <c r="B570" s="227"/>
      <c r="C570" s="99"/>
      <c r="D570" s="104">
        <v>2023</v>
      </c>
      <c r="E570" s="102">
        <f t="shared" si="57"/>
        <v>0</v>
      </c>
      <c r="F570" s="120">
        <v>0</v>
      </c>
      <c r="G570" s="102">
        <v>0</v>
      </c>
      <c r="H570" s="102">
        <v>0</v>
      </c>
      <c r="I570" s="102">
        <v>0</v>
      </c>
      <c r="J570" s="102">
        <v>0</v>
      </c>
      <c r="K570" s="103"/>
      <c r="L570" s="149"/>
      <c r="M570" s="57"/>
    </row>
    <row r="571" spans="1:13" ht="24.95" customHeight="1" x14ac:dyDescent="0.25">
      <c r="A571" s="45"/>
      <c r="B571" s="227"/>
      <c r="C571" s="99"/>
      <c r="D571" s="104">
        <v>2024</v>
      </c>
      <c r="E571" s="102">
        <f t="shared" si="57"/>
        <v>0</v>
      </c>
      <c r="F571" s="120">
        <v>0</v>
      </c>
      <c r="G571" s="102">
        <v>0</v>
      </c>
      <c r="H571" s="102">
        <v>0</v>
      </c>
      <c r="I571" s="102">
        <v>0</v>
      </c>
      <c r="J571" s="102">
        <v>0</v>
      </c>
      <c r="K571" s="103"/>
      <c r="L571" s="149"/>
      <c r="M571" s="57"/>
    </row>
    <row r="572" spans="1:13" ht="24.95" customHeight="1" x14ac:dyDescent="0.25">
      <c r="A572" s="45"/>
      <c r="B572" s="227"/>
      <c r="C572" s="99"/>
      <c r="D572" s="104">
        <v>2025</v>
      </c>
      <c r="E572" s="102">
        <f t="shared" si="57"/>
        <v>0</v>
      </c>
      <c r="F572" s="120">
        <v>0</v>
      </c>
      <c r="G572" s="102">
        <v>0</v>
      </c>
      <c r="H572" s="102">
        <v>0</v>
      </c>
      <c r="I572" s="102">
        <v>0</v>
      </c>
      <c r="J572" s="102">
        <v>0</v>
      </c>
      <c r="K572" s="103"/>
      <c r="L572" s="149"/>
      <c r="M572" s="57"/>
    </row>
    <row r="573" spans="1:13" ht="24.95" customHeight="1" x14ac:dyDescent="0.25">
      <c r="A573" s="46"/>
      <c r="B573" s="228"/>
      <c r="C573" s="107"/>
      <c r="D573" s="104">
        <v>2026</v>
      </c>
      <c r="E573" s="102">
        <f t="shared" ref="E573" si="63">F573+G573+H573+J573</f>
        <v>0</v>
      </c>
      <c r="F573" s="120">
        <v>0</v>
      </c>
      <c r="G573" s="102">
        <v>0</v>
      </c>
      <c r="H573" s="102">
        <v>0</v>
      </c>
      <c r="I573" s="102">
        <v>0</v>
      </c>
      <c r="J573" s="102">
        <v>0</v>
      </c>
      <c r="K573" s="109"/>
      <c r="L573" s="156"/>
      <c r="M573" s="57"/>
    </row>
    <row r="574" spans="1:13" ht="24.95" customHeight="1" thickBot="1" x14ac:dyDescent="0.3">
      <c r="A574" s="47"/>
      <c r="B574" s="229"/>
      <c r="C574" s="111"/>
      <c r="D574" s="159">
        <v>2027</v>
      </c>
      <c r="E574" s="113">
        <f t="shared" si="57"/>
        <v>0</v>
      </c>
      <c r="F574" s="123">
        <v>0</v>
      </c>
      <c r="G574" s="113">
        <v>0</v>
      </c>
      <c r="H574" s="113">
        <v>0</v>
      </c>
      <c r="I574" s="113">
        <v>0</v>
      </c>
      <c r="J574" s="113">
        <v>0</v>
      </c>
      <c r="K574" s="114"/>
      <c r="L574" s="160"/>
      <c r="M574" s="57"/>
    </row>
    <row r="575" spans="1:13" ht="25.5" customHeight="1" x14ac:dyDescent="0.25">
      <c r="A575" s="48" t="s">
        <v>131</v>
      </c>
      <c r="B575" s="226" t="s">
        <v>176</v>
      </c>
      <c r="C575" s="141" t="e">
        <f>#REF!+#REF!+#REF!+#REF!+#REF!+#REF!+#REF!+#REF!</f>
        <v>#REF!</v>
      </c>
      <c r="D575" s="143">
        <v>2018</v>
      </c>
      <c r="E575" s="144">
        <f t="shared" si="57"/>
        <v>0</v>
      </c>
      <c r="F575" s="144">
        <v>0</v>
      </c>
      <c r="G575" s="144">
        <v>0</v>
      </c>
      <c r="H575" s="144">
        <v>0</v>
      </c>
      <c r="I575" s="144">
        <v>0</v>
      </c>
      <c r="J575" s="144">
        <v>0</v>
      </c>
      <c r="K575" s="145" t="s">
        <v>132</v>
      </c>
      <c r="L575" s="146" t="s">
        <v>127</v>
      </c>
      <c r="M575" s="57"/>
    </row>
    <row r="576" spans="1:13" ht="25.5" customHeight="1" x14ac:dyDescent="0.25">
      <c r="A576" s="45"/>
      <c r="B576" s="227"/>
      <c r="C576" s="99"/>
      <c r="D576" s="101">
        <v>2019</v>
      </c>
      <c r="E576" s="102">
        <f t="shared" si="57"/>
        <v>19638.2</v>
      </c>
      <c r="F576" s="102">
        <v>0</v>
      </c>
      <c r="G576" s="102">
        <v>16951</v>
      </c>
      <c r="H576" s="102">
        <v>2687.2</v>
      </c>
      <c r="I576" s="102">
        <v>1883.5</v>
      </c>
      <c r="J576" s="102">
        <v>0</v>
      </c>
      <c r="K576" s="103"/>
      <c r="L576" s="149"/>
      <c r="M576" s="57"/>
    </row>
    <row r="577" spans="1:13" ht="25.5" customHeight="1" x14ac:dyDescent="0.25">
      <c r="A577" s="45"/>
      <c r="B577" s="227"/>
      <c r="C577" s="99"/>
      <c r="D577" s="104">
        <v>2020</v>
      </c>
      <c r="E577" s="102">
        <f t="shared" si="57"/>
        <v>216.1</v>
      </c>
      <c r="F577" s="120">
        <v>0</v>
      </c>
      <c r="G577" s="102">
        <v>0</v>
      </c>
      <c r="H577" s="102">
        <v>216.1</v>
      </c>
      <c r="I577" s="102">
        <v>0</v>
      </c>
      <c r="J577" s="102">
        <v>0</v>
      </c>
      <c r="K577" s="103"/>
      <c r="L577" s="149"/>
      <c r="M577" s="57"/>
    </row>
    <row r="578" spans="1:13" ht="25.5" customHeight="1" x14ac:dyDescent="0.25">
      <c r="A578" s="45"/>
      <c r="B578" s="227"/>
      <c r="C578" s="99"/>
      <c r="D578" s="104">
        <v>2021</v>
      </c>
      <c r="E578" s="102">
        <f t="shared" si="57"/>
        <v>0</v>
      </c>
      <c r="F578" s="120">
        <v>0</v>
      </c>
      <c r="G578" s="102">
        <v>0</v>
      </c>
      <c r="H578" s="102">
        <v>0</v>
      </c>
      <c r="I578" s="102">
        <v>0</v>
      </c>
      <c r="J578" s="102">
        <v>0</v>
      </c>
      <c r="K578" s="103"/>
      <c r="L578" s="149"/>
      <c r="M578" s="57"/>
    </row>
    <row r="579" spans="1:13" ht="25.5" customHeight="1" x14ac:dyDescent="0.25">
      <c r="A579" s="45"/>
      <c r="B579" s="227"/>
      <c r="C579" s="99"/>
      <c r="D579" s="104">
        <v>2022</v>
      </c>
      <c r="E579" s="102">
        <f t="shared" si="57"/>
        <v>0</v>
      </c>
      <c r="F579" s="120">
        <v>0</v>
      </c>
      <c r="G579" s="102">
        <v>0</v>
      </c>
      <c r="H579" s="102">
        <v>0</v>
      </c>
      <c r="I579" s="102">
        <v>0</v>
      </c>
      <c r="J579" s="102">
        <v>0</v>
      </c>
      <c r="K579" s="103"/>
      <c r="L579" s="149"/>
      <c r="M579" s="57"/>
    </row>
    <row r="580" spans="1:13" ht="25.5" customHeight="1" x14ac:dyDescent="0.25">
      <c r="A580" s="45"/>
      <c r="B580" s="227"/>
      <c r="C580" s="99"/>
      <c r="D580" s="104">
        <v>2023</v>
      </c>
      <c r="E580" s="102">
        <f t="shared" si="57"/>
        <v>0</v>
      </c>
      <c r="F580" s="120">
        <v>0</v>
      </c>
      <c r="G580" s="102">
        <v>0</v>
      </c>
      <c r="H580" s="102">
        <v>0</v>
      </c>
      <c r="I580" s="102">
        <v>0</v>
      </c>
      <c r="J580" s="102">
        <v>0</v>
      </c>
      <c r="K580" s="103"/>
      <c r="L580" s="149"/>
      <c r="M580" s="57"/>
    </row>
    <row r="581" spans="1:13" ht="25.5" customHeight="1" x14ac:dyDescent="0.25">
      <c r="A581" s="45"/>
      <c r="B581" s="227"/>
      <c r="C581" s="99"/>
      <c r="D581" s="104">
        <v>2024</v>
      </c>
      <c r="E581" s="102">
        <f t="shared" si="57"/>
        <v>0</v>
      </c>
      <c r="F581" s="120">
        <v>0</v>
      </c>
      <c r="G581" s="102">
        <v>0</v>
      </c>
      <c r="H581" s="102">
        <v>0</v>
      </c>
      <c r="I581" s="102">
        <v>0</v>
      </c>
      <c r="J581" s="102">
        <v>0</v>
      </c>
      <c r="K581" s="103"/>
      <c r="L581" s="149"/>
      <c r="M581" s="57"/>
    </row>
    <row r="582" spans="1:13" ht="25.5" customHeight="1" x14ac:dyDescent="0.25">
      <c r="A582" s="45"/>
      <c r="B582" s="227"/>
      <c r="C582" s="99"/>
      <c r="D582" s="104">
        <v>2025</v>
      </c>
      <c r="E582" s="102">
        <f t="shared" si="57"/>
        <v>0</v>
      </c>
      <c r="F582" s="120">
        <v>0</v>
      </c>
      <c r="G582" s="102">
        <v>0</v>
      </c>
      <c r="H582" s="102">
        <v>0</v>
      </c>
      <c r="I582" s="102">
        <v>0</v>
      </c>
      <c r="J582" s="102">
        <v>0</v>
      </c>
      <c r="K582" s="103"/>
      <c r="L582" s="149"/>
      <c r="M582" s="57"/>
    </row>
    <row r="583" spans="1:13" ht="25.5" customHeight="1" x14ac:dyDescent="0.25">
      <c r="A583" s="46"/>
      <c r="B583" s="228"/>
      <c r="C583" s="107"/>
      <c r="D583" s="104">
        <v>2026</v>
      </c>
      <c r="E583" s="102">
        <f t="shared" ref="E583" si="64">F583+G583+H583+J583</f>
        <v>0</v>
      </c>
      <c r="F583" s="120">
        <v>0</v>
      </c>
      <c r="G583" s="102">
        <v>0</v>
      </c>
      <c r="H583" s="102">
        <v>0</v>
      </c>
      <c r="I583" s="102">
        <v>0</v>
      </c>
      <c r="J583" s="102">
        <v>0</v>
      </c>
      <c r="K583" s="109"/>
      <c r="L583" s="156"/>
      <c r="M583" s="57"/>
    </row>
    <row r="584" spans="1:13" ht="25.5" customHeight="1" thickBot="1" x14ac:dyDescent="0.3">
      <c r="A584" s="47"/>
      <c r="B584" s="229"/>
      <c r="C584" s="111"/>
      <c r="D584" s="159">
        <v>2027</v>
      </c>
      <c r="E584" s="113">
        <f t="shared" si="57"/>
        <v>0</v>
      </c>
      <c r="F584" s="231">
        <v>0</v>
      </c>
      <c r="G584" s="113">
        <v>0</v>
      </c>
      <c r="H584" s="113">
        <v>0</v>
      </c>
      <c r="I584" s="113">
        <v>0</v>
      </c>
      <c r="J584" s="113">
        <v>0</v>
      </c>
      <c r="K584" s="114"/>
      <c r="L584" s="160"/>
      <c r="M584" s="57"/>
    </row>
    <row r="585" spans="1:13" ht="45" customHeight="1" x14ac:dyDescent="0.25">
      <c r="A585" s="48" t="s">
        <v>133</v>
      </c>
      <c r="B585" s="240" t="s">
        <v>324</v>
      </c>
      <c r="C585" s="141" t="e">
        <f>#REF!+#REF!+#REF!+#REF!+#REF!+#REF!+#REF!+#REF!</f>
        <v>#REF!</v>
      </c>
      <c r="D585" s="143">
        <v>2018</v>
      </c>
      <c r="E585" s="144">
        <f t="shared" si="57"/>
        <v>0</v>
      </c>
      <c r="F585" s="144">
        <v>0</v>
      </c>
      <c r="G585" s="144">
        <v>0</v>
      </c>
      <c r="H585" s="144">
        <v>0</v>
      </c>
      <c r="I585" s="144">
        <v>0</v>
      </c>
      <c r="J585" s="144">
        <v>0</v>
      </c>
      <c r="K585" s="145" t="s">
        <v>327</v>
      </c>
      <c r="L585" s="146" t="s">
        <v>6</v>
      </c>
      <c r="M585" s="57"/>
    </row>
    <row r="586" spans="1:13" ht="45" customHeight="1" x14ac:dyDescent="0.25">
      <c r="A586" s="45"/>
      <c r="B586" s="241"/>
      <c r="C586" s="99"/>
      <c r="D586" s="101">
        <v>2019</v>
      </c>
      <c r="E586" s="102">
        <f t="shared" si="57"/>
        <v>0</v>
      </c>
      <c r="F586" s="102">
        <v>0</v>
      </c>
      <c r="G586" s="102">
        <v>0</v>
      </c>
      <c r="H586" s="102">
        <v>0</v>
      </c>
      <c r="I586" s="102">
        <v>0</v>
      </c>
      <c r="J586" s="102">
        <v>0</v>
      </c>
      <c r="K586" s="103"/>
      <c r="L586" s="149"/>
      <c r="M586" s="57"/>
    </row>
    <row r="587" spans="1:13" ht="45" customHeight="1" x14ac:dyDescent="0.25">
      <c r="A587" s="45"/>
      <c r="B587" s="241"/>
      <c r="C587" s="99"/>
      <c r="D587" s="100">
        <v>2020</v>
      </c>
      <c r="E587" s="102">
        <f t="shared" si="57"/>
        <v>19536.2</v>
      </c>
      <c r="F587" s="120">
        <v>0</v>
      </c>
      <c r="G587" s="102">
        <v>16347.5</v>
      </c>
      <c r="H587" s="102">
        <v>3188.7</v>
      </c>
      <c r="I587" s="102">
        <v>1877.2</v>
      </c>
      <c r="J587" s="102">
        <v>0</v>
      </c>
      <c r="K587" s="103"/>
      <c r="L587" s="149"/>
      <c r="M587" s="57"/>
    </row>
    <row r="588" spans="1:13" ht="45" customHeight="1" x14ac:dyDescent="0.25">
      <c r="A588" s="45"/>
      <c r="B588" s="241"/>
      <c r="C588" s="99"/>
      <c r="D588" s="100">
        <v>2021</v>
      </c>
      <c r="E588" s="102">
        <f t="shared" si="57"/>
        <v>30612.899999999998</v>
      </c>
      <c r="F588" s="120">
        <v>0</v>
      </c>
      <c r="G588" s="102">
        <v>26865.1</v>
      </c>
      <c r="H588" s="102">
        <v>3747.8</v>
      </c>
      <c r="I588" s="102">
        <v>2986.1</v>
      </c>
      <c r="J588" s="102">
        <v>0</v>
      </c>
      <c r="K588" s="103"/>
      <c r="L588" s="149"/>
      <c r="M588" s="57"/>
    </row>
    <row r="589" spans="1:13" ht="45" customHeight="1" x14ac:dyDescent="0.25">
      <c r="A589" s="45"/>
      <c r="B589" s="241"/>
      <c r="C589" s="99"/>
      <c r="D589" s="100">
        <v>2022</v>
      </c>
      <c r="E589" s="102">
        <f t="shared" si="57"/>
        <v>0</v>
      </c>
      <c r="F589" s="120">
        <v>0</v>
      </c>
      <c r="G589" s="102">
        <v>0</v>
      </c>
      <c r="H589" s="102">
        <v>0</v>
      </c>
      <c r="I589" s="102">
        <v>0</v>
      </c>
      <c r="J589" s="102">
        <v>0</v>
      </c>
      <c r="K589" s="103"/>
      <c r="L589" s="149"/>
      <c r="M589" s="57"/>
    </row>
    <row r="590" spans="1:13" ht="30" customHeight="1" x14ac:dyDescent="0.25">
      <c r="A590" s="45"/>
      <c r="B590" s="242"/>
      <c r="C590" s="99"/>
      <c r="D590" s="100">
        <v>2023</v>
      </c>
      <c r="E590" s="102">
        <f>F590+G590+H590+J590</f>
        <v>2829.5</v>
      </c>
      <c r="F590" s="105">
        <v>0</v>
      </c>
      <c r="G590" s="102">
        <f>2674.4-127.9</f>
        <v>2546.5</v>
      </c>
      <c r="H590" s="102">
        <f>297.2-14.2</f>
        <v>283</v>
      </c>
      <c r="I590" s="102">
        <f>297.2-14.2</f>
        <v>283</v>
      </c>
      <c r="J590" s="102">
        <v>0</v>
      </c>
      <c r="K590" s="103"/>
      <c r="L590" s="149"/>
      <c r="M590" s="57"/>
    </row>
    <row r="591" spans="1:13" ht="174" customHeight="1" x14ac:dyDescent="0.25">
      <c r="A591" s="49"/>
      <c r="B591" s="243" t="s">
        <v>325</v>
      </c>
      <c r="C591" s="99"/>
      <c r="D591" s="100">
        <v>2024</v>
      </c>
      <c r="E591" s="102">
        <f>F591+G591+H591+J591</f>
        <v>13560.800000000003</v>
      </c>
      <c r="F591" s="105">
        <v>0</v>
      </c>
      <c r="G591" s="121">
        <f>11526.6+3454.1+2007.2-5461.3</f>
        <v>11526.600000000002</v>
      </c>
      <c r="H591" s="121">
        <f>2034.2</f>
        <v>2034.2</v>
      </c>
      <c r="I591" s="121">
        <f>2034.2+354.3-354.3</f>
        <v>2034.2</v>
      </c>
      <c r="J591" s="102">
        <v>0</v>
      </c>
      <c r="K591" s="103"/>
      <c r="L591" s="149"/>
      <c r="M591" s="57"/>
    </row>
    <row r="592" spans="1:13" ht="90.95" customHeight="1" x14ac:dyDescent="0.25">
      <c r="A592" s="45"/>
      <c r="B592" s="244" t="s">
        <v>344</v>
      </c>
      <c r="C592" s="99"/>
      <c r="D592" s="100">
        <v>2025</v>
      </c>
      <c r="E592" s="102">
        <f t="shared" si="57"/>
        <v>7019.2</v>
      </c>
      <c r="F592" s="105">
        <v>0</v>
      </c>
      <c r="G592" s="121">
        <v>0</v>
      </c>
      <c r="H592" s="121">
        <v>7019.2</v>
      </c>
      <c r="I592" s="121">
        <v>7019.2</v>
      </c>
      <c r="J592" s="102">
        <v>0</v>
      </c>
      <c r="K592" s="103"/>
      <c r="L592" s="149"/>
      <c r="M592" s="57"/>
    </row>
    <row r="593" spans="1:13" ht="90.95" customHeight="1" x14ac:dyDescent="0.25">
      <c r="A593" s="46"/>
      <c r="B593" s="241"/>
      <c r="C593" s="107"/>
      <c r="D593" s="100">
        <v>2026</v>
      </c>
      <c r="E593" s="102">
        <f t="shared" ref="E593" si="65">F593+G593+H593+J593</f>
        <v>0</v>
      </c>
      <c r="F593" s="105">
        <v>0</v>
      </c>
      <c r="G593" s="121">
        <v>0</v>
      </c>
      <c r="H593" s="121">
        <v>0</v>
      </c>
      <c r="I593" s="121">
        <v>0</v>
      </c>
      <c r="J593" s="102">
        <v>0</v>
      </c>
      <c r="K593" s="109"/>
      <c r="L593" s="156"/>
      <c r="M593" s="57"/>
    </row>
    <row r="594" spans="1:13" ht="90.95" customHeight="1" thickBot="1" x14ac:dyDescent="0.3">
      <c r="A594" s="47"/>
      <c r="B594" s="245"/>
      <c r="C594" s="111"/>
      <c r="D594" s="230">
        <v>2027</v>
      </c>
      <c r="E594" s="113">
        <f t="shared" si="57"/>
        <v>0</v>
      </c>
      <c r="F594" s="231">
        <v>0</v>
      </c>
      <c r="G594" s="124">
        <v>0</v>
      </c>
      <c r="H594" s="124">
        <v>0</v>
      </c>
      <c r="I594" s="124">
        <v>0</v>
      </c>
      <c r="J594" s="113">
        <v>0</v>
      </c>
      <c r="K594" s="114"/>
      <c r="L594" s="160"/>
      <c r="M594" s="57"/>
    </row>
    <row r="595" spans="1:13" ht="23.1" customHeight="1" x14ac:dyDescent="0.25">
      <c r="A595" s="48" t="s">
        <v>134</v>
      </c>
      <c r="B595" s="246" t="s">
        <v>177</v>
      </c>
      <c r="C595" s="141" t="e">
        <f>#REF!+#REF!+#REF!+#REF!+#REF!+#REF!+#REF!+#REF!</f>
        <v>#REF!</v>
      </c>
      <c r="D595" s="143">
        <v>2018</v>
      </c>
      <c r="E595" s="144">
        <f t="shared" si="57"/>
        <v>0</v>
      </c>
      <c r="F595" s="144">
        <v>0</v>
      </c>
      <c r="G595" s="144">
        <v>0</v>
      </c>
      <c r="H595" s="144">
        <v>0</v>
      </c>
      <c r="I595" s="144">
        <v>0</v>
      </c>
      <c r="J595" s="144">
        <v>0</v>
      </c>
      <c r="K595" s="145" t="s">
        <v>135</v>
      </c>
      <c r="L595" s="146" t="s">
        <v>6</v>
      </c>
      <c r="M595" s="57"/>
    </row>
    <row r="596" spans="1:13" ht="23.1" customHeight="1" x14ac:dyDescent="0.25">
      <c r="A596" s="45"/>
      <c r="B596" s="239"/>
      <c r="C596" s="99"/>
      <c r="D596" s="101">
        <v>2019</v>
      </c>
      <c r="E596" s="102">
        <f t="shared" ref="E596:E675" si="66">F596+G596+H596+J596</f>
        <v>3371</v>
      </c>
      <c r="F596" s="102">
        <v>0</v>
      </c>
      <c r="G596" s="102">
        <v>3202.4</v>
      </c>
      <c r="H596" s="102">
        <v>168.6</v>
      </c>
      <c r="I596" s="102">
        <v>168.6</v>
      </c>
      <c r="J596" s="102">
        <v>0</v>
      </c>
      <c r="K596" s="103"/>
      <c r="L596" s="149"/>
      <c r="M596" s="57"/>
    </row>
    <row r="597" spans="1:13" ht="23.1" customHeight="1" x14ac:dyDescent="0.25">
      <c r="A597" s="45"/>
      <c r="B597" s="239"/>
      <c r="C597" s="99"/>
      <c r="D597" s="104">
        <v>2020</v>
      </c>
      <c r="E597" s="102">
        <f t="shared" si="66"/>
        <v>0</v>
      </c>
      <c r="F597" s="120">
        <v>0</v>
      </c>
      <c r="G597" s="102">
        <v>0</v>
      </c>
      <c r="H597" s="102">
        <v>0</v>
      </c>
      <c r="I597" s="102">
        <v>0</v>
      </c>
      <c r="J597" s="102">
        <v>0</v>
      </c>
      <c r="K597" s="103"/>
      <c r="L597" s="149"/>
      <c r="M597" s="57"/>
    </row>
    <row r="598" spans="1:13" ht="23.1" customHeight="1" x14ac:dyDescent="0.25">
      <c r="A598" s="45"/>
      <c r="B598" s="239"/>
      <c r="C598" s="99"/>
      <c r="D598" s="104">
        <v>2021</v>
      </c>
      <c r="E598" s="102">
        <f t="shared" si="66"/>
        <v>0</v>
      </c>
      <c r="F598" s="120">
        <v>0</v>
      </c>
      <c r="G598" s="102">
        <v>0</v>
      </c>
      <c r="H598" s="102">
        <v>0</v>
      </c>
      <c r="I598" s="102">
        <v>0</v>
      </c>
      <c r="J598" s="102">
        <v>0</v>
      </c>
      <c r="K598" s="103"/>
      <c r="L598" s="149"/>
      <c r="M598" s="57"/>
    </row>
    <row r="599" spans="1:13" ht="23.1" customHeight="1" x14ac:dyDescent="0.25">
      <c r="A599" s="45"/>
      <c r="B599" s="239"/>
      <c r="C599" s="99"/>
      <c r="D599" s="104">
        <v>2022</v>
      </c>
      <c r="E599" s="102">
        <f t="shared" si="66"/>
        <v>0</v>
      </c>
      <c r="F599" s="120">
        <v>0</v>
      </c>
      <c r="G599" s="102">
        <v>0</v>
      </c>
      <c r="H599" s="102">
        <v>0</v>
      </c>
      <c r="I599" s="102">
        <v>0</v>
      </c>
      <c r="J599" s="102">
        <v>0</v>
      </c>
      <c r="K599" s="103"/>
      <c r="L599" s="149"/>
      <c r="M599" s="57"/>
    </row>
    <row r="600" spans="1:13" ht="23.1" customHeight="1" x14ac:dyDescent="0.25">
      <c r="A600" s="45"/>
      <c r="B600" s="239"/>
      <c r="C600" s="99"/>
      <c r="D600" s="104">
        <v>2023</v>
      </c>
      <c r="E600" s="102">
        <f t="shared" si="66"/>
        <v>0</v>
      </c>
      <c r="F600" s="105">
        <v>0</v>
      </c>
      <c r="G600" s="102">
        <v>0</v>
      </c>
      <c r="H600" s="102">
        <v>0</v>
      </c>
      <c r="I600" s="102">
        <v>0</v>
      </c>
      <c r="J600" s="102">
        <v>0</v>
      </c>
      <c r="K600" s="103"/>
      <c r="L600" s="149"/>
      <c r="M600" s="57"/>
    </row>
    <row r="601" spans="1:13" ht="23.1" customHeight="1" x14ac:dyDescent="0.25">
      <c r="A601" s="45"/>
      <c r="B601" s="239"/>
      <c r="C601" s="99"/>
      <c r="D601" s="104">
        <v>2024</v>
      </c>
      <c r="E601" s="102">
        <f t="shared" si="66"/>
        <v>0</v>
      </c>
      <c r="F601" s="105">
        <v>0</v>
      </c>
      <c r="G601" s="102">
        <v>0</v>
      </c>
      <c r="H601" s="102">
        <v>0</v>
      </c>
      <c r="I601" s="102">
        <v>0</v>
      </c>
      <c r="J601" s="102">
        <v>0</v>
      </c>
      <c r="K601" s="103"/>
      <c r="L601" s="149"/>
      <c r="M601" s="57"/>
    </row>
    <row r="602" spans="1:13" ht="23.1" customHeight="1" x14ac:dyDescent="0.25">
      <c r="A602" s="45"/>
      <c r="B602" s="239"/>
      <c r="C602" s="99"/>
      <c r="D602" s="104">
        <v>2025</v>
      </c>
      <c r="E602" s="102">
        <f t="shared" si="66"/>
        <v>0</v>
      </c>
      <c r="F602" s="105">
        <v>0</v>
      </c>
      <c r="G602" s="102">
        <v>0</v>
      </c>
      <c r="H602" s="102">
        <v>0</v>
      </c>
      <c r="I602" s="102">
        <v>0</v>
      </c>
      <c r="J602" s="102">
        <v>0</v>
      </c>
      <c r="K602" s="103"/>
      <c r="L602" s="149"/>
      <c r="M602" s="57"/>
    </row>
    <row r="603" spans="1:13" ht="23.1" customHeight="1" x14ac:dyDescent="0.25">
      <c r="A603" s="46"/>
      <c r="B603" s="247"/>
      <c r="C603" s="107"/>
      <c r="D603" s="104">
        <v>2026</v>
      </c>
      <c r="E603" s="102">
        <f t="shared" ref="E603" si="67">F603+G603+H603+J603</f>
        <v>0</v>
      </c>
      <c r="F603" s="105">
        <v>0</v>
      </c>
      <c r="G603" s="102">
        <v>0</v>
      </c>
      <c r="H603" s="102">
        <v>0</v>
      </c>
      <c r="I603" s="102">
        <v>0</v>
      </c>
      <c r="J603" s="102">
        <v>0</v>
      </c>
      <c r="K603" s="109"/>
      <c r="L603" s="156"/>
      <c r="M603" s="57"/>
    </row>
    <row r="604" spans="1:13" ht="23.1" customHeight="1" thickBot="1" x14ac:dyDescent="0.3">
      <c r="A604" s="47"/>
      <c r="B604" s="248"/>
      <c r="C604" s="111"/>
      <c r="D604" s="159">
        <v>2027</v>
      </c>
      <c r="E604" s="113">
        <f t="shared" si="66"/>
        <v>0</v>
      </c>
      <c r="F604" s="231">
        <v>0</v>
      </c>
      <c r="G604" s="113">
        <v>0</v>
      </c>
      <c r="H604" s="113">
        <v>0</v>
      </c>
      <c r="I604" s="113">
        <v>0</v>
      </c>
      <c r="J604" s="113">
        <v>0</v>
      </c>
      <c r="K604" s="114"/>
      <c r="L604" s="160"/>
      <c r="M604" s="57"/>
    </row>
    <row r="605" spans="1:13" ht="23.1" customHeight="1" x14ac:dyDescent="0.25">
      <c r="A605" s="48" t="s">
        <v>136</v>
      </c>
      <c r="B605" s="246" t="s">
        <v>175</v>
      </c>
      <c r="C605" s="141" t="e">
        <f>#REF!+#REF!+#REF!+#REF!+#REF!+#REF!+#REF!+#REF!</f>
        <v>#REF!</v>
      </c>
      <c r="D605" s="143">
        <v>2018</v>
      </c>
      <c r="E605" s="144">
        <f t="shared" si="66"/>
        <v>0</v>
      </c>
      <c r="F605" s="144">
        <v>0</v>
      </c>
      <c r="G605" s="144">
        <v>0</v>
      </c>
      <c r="H605" s="144">
        <v>0</v>
      </c>
      <c r="I605" s="144">
        <v>0</v>
      </c>
      <c r="J605" s="144">
        <v>0</v>
      </c>
      <c r="K605" s="145" t="s">
        <v>137</v>
      </c>
      <c r="L605" s="146" t="s">
        <v>6</v>
      </c>
      <c r="M605" s="57"/>
    </row>
    <row r="606" spans="1:13" ht="23.1" customHeight="1" x14ac:dyDescent="0.25">
      <c r="A606" s="45"/>
      <c r="B606" s="239"/>
      <c r="C606" s="99"/>
      <c r="D606" s="101">
        <v>2019</v>
      </c>
      <c r="E606" s="102">
        <f t="shared" si="66"/>
        <v>0</v>
      </c>
      <c r="F606" s="102">
        <v>0</v>
      </c>
      <c r="G606" s="102">
        <v>0</v>
      </c>
      <c r="H606" s="102">
        <v>0</v>
      </c>
      <c r="I606" s="102">
        <v>0</v>
      </c>
      <c r="J606" s="102">
        <v>0</v>
      </c>
      <c r="K606" s="103"/>
      <c r="L606" s="149"/>
      <c r="M606" s="57"/>
    </row>
    <row r="607" spans="1:13" ht="23.1" customHeight="1" x14ac:dyDescent="0.25">
      <c r="A607" s="45"/>
      <c r="B607" s="239"/>
      <c r="C607" s="99"/>
      <c r="D607" s="104">
        <v>2020</v>
      </c>
      <c r="E607" s="102">
        <f t="shared" si="66"/>
        <v>1175.8999999999999</v>
      </c>
      <c r="F607" s="120">
        <v>0</v>
      </c>
      <c r="G607" s="102">
        <v>1117.0999999999999</v>
      </c>
      <c r="H607" s="102">
        <v>58.8</v>
      </c>
      <c r="I607" s="102">
        <v>58.8</v>
      </c>
      <c r="J607" s="102">
        <v>0</v>
      </c>
      <c r="K607" s="103"/>
      <c r="L607" s="149"/>
      <c r="M607" s="57"/>
    </row>
    <row r="608" spans="1:13" ht="23.1" customHeight="1" x14ac:dyDescent="0.25">
      <c r="A608" s="45"/>
      <c r="B608" s="239"/>
      <c r="C608" s="99"/>
      <c r="D608" s="104">
        <v>2021</v>
      </c>
      <c r="E608" s="102">
        <f t="shared" si="66"/>
        <v>0</v>
      </c>
      <c r="F608" s="120">
        <v>0</v>
      </c>
      <c r="G608" s="102">
        <v>0</v>
      </c>
      <c r="H608" s="102">
        <v>0</v>
      </c>
      <c r="I608" s="102">
        <v>0</v>
      </c>
      <c r="J608" s="102">
        <v>0</v>
      </c>
      <c r="K608" s="103"/>
      <c r="L608" s="149"/>
      <c r="M608" s="57"/>
    </row>
    <row r="609" spans="1:13" ht="23.1" customHeight="1" x14ac:dyDescent="0.25">
      <c r="A609" s="45"/>
      <c r="B609" s="239"/>
      <c r="C609" s="99"/>
      <c r="D609" s="104">
        <v>2022</v>
      </c>
      <c r="E609" s="102">
        <f t="shared" si="66"/>
        <v>0</v>
      </c>
      <c r="F609" s="120">
        <v>0</v>
      </c>
      <c r="G609" s="102">
        <v>0</v>
      </c>
      <c r="H609" s="102">
        <v>0</v>
      </c>
      <c r="I609" s="102">
        <v>0</v>
      </c>
      <c r="J609" s="102">
        <v>0</v>
      </c>
      <c r="K609" s="103"/>
      <c r="L609" s="149"/>
      <c r="M609" s="57"/>
    </row>
    <row r="610" spans="1:13" ht="23.1" customHeight="1" x14ac:dyDescent="0.25">
      <c r="A610" s="45"/>
      <c r="B610" s="239"/>
      <c r="C610" s="99"/>
      <c r="D610" s="104">
        <v>2023</v>
      </c>
      <c r="E610" s="102">
        <f t="shared" si="66"/>
        <v>0</v>
      </c>
      <c r="F610" s="120">
        <v>0</v>
      </c>
      <c r="G610" s="102">
        <v>0</v>
      </c>
      <c r="H610" s="102">
        <v>0</v>
      </c>
      <c r="I610" s="102">
        <v>0</v>
      </c>
      <c r="J610" s="102">
        <v>0</v>
      </c>
      <c r="K610" s="103"/>
      <c r="L610" s="149"/>
      <c r="M610" s="57"/>
    </row>
    <row r="611" spans="1:13" ht="23.1" customHeight="1" x14ac:dyDescent="0.25">
      <c r="A611" s="45"/>
      <c r="B611" s="239"/>
      <c r="C611" s="99"/>
      <c r="D611" s="104">
        <v>2024</v>
      </c>
      <c r="E611" s="102">
        <f t="shared" si="66"/>
        <v>0</v>
      </c>
      <c r="F611" s="120">
        <v>0</v>
      </c>
      <c r="G611" s="102">
        <v>0</v>
      </c>
      <c r="H611" s="102">
        <v>0</v>
      </c>
      <c r="I611" s="102">
        <v>0</v>
      </c>
      <c r="J611" s="102">
        <v>0</v>
      </c>
      <c r="K611" s="103"/>
      <c r="L611" s="149"/>
      <c r="M611" s="57"/>
    </row>
    <row r="612" spans="1:13" ht="23.1" customHeight="1" x14ac:dyDescent="0.25">
      <c r="A612" s="45"/>
      <c r="B612" s="239"/>
      <c r="C612" s="99"/>
      <c r="D612" s="104">
        <v>2025</v>
      </c>
      <c r="E612" s="102">
        <f t="shared" si="66"/>
        <v>0</v>
      </c>
      <c r="F612" s="120">
        <v>0</v>
      </c>
      <c r="G612" s="102">
        <v>0</v>
      </c>
      <c r="H612" s="102">
        <v>0</v>
      </c>
      <c r="I612" s="102">
        <v>0</v>
      </c>
      <c r="J612" s="102">
        <v>0</v>
      </c>
      <c r="K612" s="103"/>
      <c r="L612" s="149"/>
      <c r="M612" s="57"/>
    </row>
    <row r="613" spans="1:13" ht="23.1" customHeight="1" x14ac:dyDescent="0.25">
      <c r="A613" s="46"/>
      <c r="B613" s="247"/>
      <c r="C613" s="107"/>
      <c r="D613" s="104">
        <v>2026</v>
      </c>
      <c r="E613" s="102">
        <f t="shared" ref="E613" si="68">F613+G613+H613+J613</f>
        <v>0</v>
      </c>
      <c r="F613" s="120">
        <v>0</v>
      </c>
      <c r="G613" s="102">
        <v>0</v>
      </c>
      <c r="H613" s="102">
        <v>0</v>
      </c>
      <c r="I613" s="102">
        <v>0</v>
      </c>
      <c r="J613" s="102">
        <v>0</v>
      </c>
      <c r="K613" s="109"/>
      <c r="L613" s="156"/>
      <c r="M613" s="57"/>
    </row>
    <row r="614" spans="1:13" ht="23.1" customHeight="1" thickBot="1" x14ac:dyDescent="0.3">
      <c r="A614" s="47"/>
      <c r="B614" s="248"/>
      <c r="C614" s="111"/>
      <c r="D614" s="159">
        <v>2027</v>
      </c>
      <c r="E614" s="113">
        <f t="shared" si="66"/>
        <v>0</v>
      </c>
      <c r="F614" s="123">
        <v>0</v>
      </c>
      <c r="G614" s="113">
        <v>0</v>
      </c>
      <c r="H614" s="113">
        <v>0</v>
      </c>
      <c r="I614" s="113">
        <v>0</v>
      </c>
      <c r="J614" s="113">
        <v>0</v>
      </c>
      <c r="K614" s="114"/>
      <c r="L614" s="160"/>
      <c r="M614" s="57"/>
    </row>
    <row r="615" spans="1:13" ht="23.1" customHeight="1" x14ac:dyDescent="0.25">
      <c r="A615" s="48" t="s">
        <v>138</v>
      </c>
      <c r="B615" s="226" t="s">
        <v>139</v>
      </c>
      <c r="C615" s="141" t="e">
        <f>#REF!+#REF!+#REF!+#REF!+#REF!+#REF!+#REF!+#REF!</f>
        <v>#REF!</v>
      </c>
      <c r="D615" s="143">
        <v>2018</v>
      </c>
      <c r="E615" s="144">
        <f t="shared" si="66"/>
        <v>0</v>
      </c>
      <c r="F615" s="144">
        <v>0</v>
      </c>
      <c r="G615" s="144">
        <v>0</v>
      </c>
      <c r="H615" s="144">
        <v>0</v>
      </c>
      <c r="I615" s="144">
        <v>0</v>
      </c>
      <c r="J615" s="144">
        <v>0</v>
      </c>
      <c r="K615" s="145" t="s">
        <v>140</v>
      </c>
      <c r="L615" s="146" t="s">
        <v>31</v>
      </c>
      <c r="M615" s="57"/>
    </row>
    <row r="616" spans="1:13" ht="23.1" customHeight="1" x14ac:dyDescent="0.25">
      <c r="A616" s="45"/>
      <c r="B616" s="227"/>
      <c r="C616" s="99"/>
      <c r="D616" s="101">
        <v>2019</v>
      </c>
      <c r="E616" s="102">
        <f t="shared" si="66"/>
        <v>216.8</v>
      </c>
      <c r="F616" s="102">
        <v>0</v>
      </c>
      <c r="G616" s="102">
        <v>0</v>
      </c>
      <c r="H616" s="102">
        <v>216.8</v>
      </c>
      <c r="I616" s="102">
        <v>0</v>
      </c>
      <c r="J616" s="102">
        <v>0</v>
      </c>
      <c r="K616" s="103"/>
      <c r="L616" s="149"/>
      <c r="M616" s="57"/>
    </row>
    <row r="617" spans="1:13" ht="23.1" customHeight="1" x14ac:dyDescent="0.25">
      <c r="A617" s="45"/>
      <c r="B617" s="227"/>
      <c r="C617" s="99"/>
      <c r="D617" s="104">
        <v>2020</v>
      </c>
      <c r="E617" s="102">
        <f t="shared" si="66"/>
        <v>0</v>
      </c>
      <c r="F617" s="120">
        <v>0</v>
      </c>
      <c r="G617" s="102">
        <v>0</v>
      </c>
      <c r="H617" s="102">
        <v>0</v>
      </c>
      <c r="I617" s="102">
        <v>0</v>
      </c>
      <c r="J617" s="102">
        <v>0</v>
      </c>
      <c r="K617" s="103"/>
      <c r="L617" s="149"/>
      <c r="M617" s="57"/>
    </row>
    <row r="618" spans="1:13" ht="23.1" customHeight="1" x14ac:dyDescent="0.25">
      <c r="A618" s="45"/>
      <c r="B618" s="227"/>
      <c r="C618" s="99"/>
      <c r="D618" s="104">
        <v>2021</v>
      </c>
      <c r="E618" s="102">
        <f t="shared" si="66"/>
        <v>0</v>
      </c>
      <c r="F618" s="120">
        <v>0</v>
      </c>
      <c r="G618" s="102">
        <v>0</v>
      </c>
      <c r="H618" s="102">
        <v>0</v>
      </c>
      <c r="I618" s="102">
        <v>0</v>
      </c>
      <c r="J618" s="102">
        <v>0</v>
      </c>
      <c r="K618" s="103"/>
      <c r="L618" s="149"/>
      <c r="M618" s="57"/>
    </row>
    <row r="619" spans="1:13" ht="23.1" customHeight="1" x14ac:dyDescent="0.25">
      <c r="A619" s="45"/>
      <c r="B619" s="227"/>
      <c r="C619" s="99"/>
      <c r="D619" s="104">
        <v>2022</v>
      </c>
      <c r="E619" s="102">
        <f t="shared" si="66"/>
        <v>0</v>
      </c>
      <c r="F619" s="120">
        <v>0</v>
      </c>
      <c r="G619" s="102">
        <v>0</v>
      </c>
      <c r="H619" s="102">
        <v>0</v>
      </c>
      <c r="I619" s="102">
        <v>0</v>
      </c>
      <c r="J619" s="102">
        <v>0</v>
      </c>
      <c r="K619" s="103"/>
      <c r="L619" s="149"/>
      <c r="M619" s="57"/>
    </row>
    <row r="620" spans="1:13" ht="23.1" customHeight="1" x14ac:dyDescent="0.25">
      <c r="A620" s="45"/>
      <c r="B620" s="227"/>
      <c r="C620" s="99"/>
      <c r="D620" s="104">
        <v>2023</v>
      </c>
      <c r="E620" s="102">
        <f t="shared" si="66"/>
        <v>0</v>
      </c>
      <c r="F620" s="120">
        <v>0</v>
      </c>
      <c r="G620" s="102">
        <v>0</v>
      </c>
      <c r="H620" s="102">
        <v>0</v>
      </c>
      <c r="I620" s="102">
        <v>0</v>
      </c>
      <c r="J620" s="102">
        <v>0</v>
      </c>
      <c r="K620" s="103"/>
      <c r="L620" s="149"/>
      <c r="M620" s="57"/>
    </row>
    <row r="621" spans="1:13" ht="23.1" customHeight="1" x14ac:dyDescent="0.25">
      <c r="A621" s="45"/>
      <c r="B621" s="227"/>
      <c r="C621" s="99"/>
      <c r="D621" s="104">
        <v>2024</v>
      </c>
      <c r="E621" s="102">
        <f t="shared" si="66"/>
        <v>0</v>
      </c>
      <c r="F621" s="120">
        <v>0</v>
      </c>
      <c r="G621" s="102">
        <v>0</v>
      </c>
      <c r="H621" s="102">
        <v>0</v>
      </c>
      <c r="I621" s="102">
        <v>0</v>
      </c>
      <c r="J621" s="102">
        <v>0</v>
      </c>
      <c r="K621" s="103"/>
      <c r="L621" s="149"/>
      <c r="M621" s="57"/>
    </row>
    <row r="622" spans="1:13" ht="23.1" customHeight="1" x14ac:dyDescent="0.25">
      <c r="A622" s="45"/>
      <c r="B622" s="227"/>
      <c r="C622" s="99"/>
      <c r="D622" s="104">
        <v>2025</v>
      </c>
      <c r="E622" s="102">
        <f t="shared" si="66"/>
        <v>0</v>
      </c>
      <c r="F622" s="120">
        <v>0</v>
      </c>
      <c r="G622" s="102">
        <v>0</v>
      </c>
      <c r="H622" s="102">
        <v>0</v>
      </c>
      <c r="I622" s="102">
        <v>0</v>
      </c>
      <c r="J622" s="102">
        <v>0</v>
      </c>
      <c r="K622" s="103"/>
      <c r="L622" s="149"/>
      <c r="M622" s="57"/>
    </row>
    <row r="623" spans="1:13" ht="23.1" customHeight="1" x14ac:dyDescent="0.25">
      <c r="A623" s="46"/>
      <c r="B623" s="228"/>
      <c r="C623" s="107"/>
      <c r="D623" s="104">
        <v>2026</v>
      </c>
      <c r="E623" s="102">
        <f t="shared" ref="E623" si="69">F623+G623+H623+J623</f>
        <v>0</v>
      </c>
      <c r="F623" s="120">
        <v>0</v>
      </c>
      <c r="G623" s="102">
        <v>0</v>
      </c>
      <c r="H623" s="102">
        <v>0</v>
      </c>
      <c r="I623" s="102">
        <v>0</v>
      </c>
      <c r="J623" s="102">
        <v>0</v>
      </c>
      <c r="K623" s="109"/>
      <c r="L623" s="156"/>
      <c r="M623" s="57"/>
    </row>
    <row r="624" spans="1:13" ht="23.1" customHeight="1" thickBot="1" x14ac:dyDescent="0.3">
      <c r="A624" s="47"/>
      <c r="B624" s="229"/>
      <c r="C624" s="111"/>
      <c r="D624" s="159">
        <v>2027</v>
      </c>
      <c r="E624" s="113">
        <f t="shared" si="66"/>
        <v>0</v>
      </c>
      <c r="F624" s="123">
        <v>0</v>
      </c>
      <c r="G624" s="113">
        <v>0</v>
      </c>
      <c r="H624" s="113">
        <v>0</v>
      </c>
      <c r="I624" s="113">
        <v>0</v>
      </c>
      <c r="J624" s="113">
        <v>0</v>
      </c>
      <c r="K624" s="114"/>
      <c r="L624" s="160"/>
      <c r="M624" s="57"/>
    </row>
    <row r="625" spans="1:13" ht="23.1" customHeight="1" x14ac:dyDescent="0.25">
      <c r="A625" s="48" t="s">
        <v>141</v>
      </c>
      <c r="B625" s="226" t="s">
        <v>174</v>
      </c>
      <c r="C625" s="141" t="e">
        <f>#REF!+#REF!+#REF!+#REF!+#REF!+#REF!+#REF!+#REF!</f>
        <v>#REF!</v>
      </c>
      <c r="D625" s="143">
        <v>2018</v>
      </c>
      <c r="E625" s="144">
        <f t="shared" si="66"/>
        <v>0</v>
      </c>
      <c r="F625" s="144">
        <v>0</v>
      </c>
      <c r="G625" s="144">
        <v>0</v>
      </c>
      <c r="H625" s="144">
        <v>0</v>
      </c>
      <c r="I625" s="144">
        <v>0</v>
      </c>
      <c r="J625" s="144">
        <v>0</v>
      </c>
      <c r="K625" s="145" t="s">
        <v>142</v>
      </c>
      <c r="L625" s="146" t="s">
        <v>6</v>
      </c>
      <c r="M625" s="57"/>
    </row>
    <row r="626" spans="1:13" ht="23.1" customHeight="1" x14ac:dyDescent="0.25">
      <c r="A626" s="45"/>
      <c r="B626" s="227"/>
      <c r="C626" s="99"/>
      <c r="D626" s="101">
        <v>2019</v>
      </c>
      <c r="E626" s="102">
        <f t="shared" si="66"/>
        <v>9990.3000000000011</v>
      </c>
      <c r="F626" s="102">
        <v>0</v>
      </c>
      <c r="G626" s="102">
        <v>9490.7000000000007</v>
      </c>
      <c r="H626" s="102">
        <v>499.6</v>
      </c>
      <c r="I626" s="102">
        <v>499.6</v>
      </c>
      <c r="J626" s="102">
        <v>0</v>
      </c>
      <c r="K626" s="103"/>
      <c r="L626" s="149"/>
      <c r="M626" s="57"/>
    </row>
    <row r="627" spans="1:13" ht="23.1" customHeight="1" x14ac:dyDescent="0.25">
      <c r="A627" s="45"/>
      <c r="B627" s="227"/>
      <c r="C627" s="99"/>
      <c r="D627" s="104">
        <v>2020</v>
      </c>
      <c r="E627" s="102">
        <f t="shared" si="66"/>
        <v>10735.5</v>
      </c>
      <c r="F627" s="120">
        <v>0</v>
      </c>
      <c r="G627" s="102">
        <v>10198.700000000001</v>
      </c>
      <c r="H627" s="102">
        <v>536.79999999999995</v>
      </c>
      <c r="I627" s="102">
        <v>536.79999999999995</v>
      </c>
      <c r="J627" s="102">
        <v>0</v>
      </c>
      <c r="K627" s="103"/>
      <c r="L627" s="149"/>
      <c r="M627" s="57"/>
    </row>
    <row r="628" spans="1:13" ht="23.1" customHeight="1" x14ac:dyDescent="0.25">
      <c r="A628" s="45"/>
      <c r="B628" s="227"/>
      <c r="C628" s="99"/>
      <c r="D628" s="104">
        <v>2021</v>
      </c>
      <c r="E628" s="102">
        <f t="shared" si="66"/>
        <v>0</v>
      </c>
      <c r="F628" s="120">
        <v>0</v>
      </c>
      <c r="G628" s="102">
        <v>0</v>
      </c>
      <c r="H628" s="102">
        <v>0</v>
      </c>
      <c r="I628" s="102">
        <v>0</v>
      </c>
      <c r="J628" s="102">
        <v>0</v>
      </c>
      <c r="K628" s="103"/>
      <c r="L628" s="149"/>
      <c r="M628" s="57"/>
    </row>
    <row r="629" spans="1:13" ht="23.1" customHeight="1" x14ac:dyDescent="0.25">
      <c r="A629" s="45"/>
      <c r="B629" s="227"/>
      <c r="C629" s="99"/>
      <c r="D629" s="104">
        <v>2022</v>
      </c>
      <c r="E629" s="102">
        <f t="shared" si="66"/>
        <v>0</v>
      </c>
      <c r="F629" s="120">
        <v>0</v>
      </c>
      <c r="G629" s="102">
        <v>0</v>
      </c>
      <c r="H629" s="102">
        <v>0</v>
      </c>
      <c r="I629" s="102">
        <v>0</v>
      </c>
      <c r="J629" s="102">
        <v>0</v>
      </c>
      <c r="K629" s="103"/>
      <c r="L629" s="149"/>
      <c r="M629" s="57"/>
    </row>
    <row r="630" spans="1:13" ht="23.1" customHeight="1" x14ac:dyDescent="0.25">
      <c r="A630" s="45"/>
      <c r="B630" s="227"/>
      <c r="C630" s="99"/>
      <c r="D630" s="104">
        <v>2023</v>
      </c>
      <c r="E630" s="102">
        <f t="shared" si="66"/>
        <v>0</v>
      </c>
      <c r="F630" s="120">
        <v>0</v>
      </c>
      <c r="G630" s="102">
        <v>0</v>
      </c>
      <c r="H630" s="102">
        <v>0</v>
      </c>
      <c r="I630" s="102">
        <v>0</v>
      </c>
      <c r="J630" s="102">
        <v>0</v>
      </c>
      <c r="K630" s="103"/>
      <c r="L630" s="149"/>
      <c r="M630" s="57"/>
    </row>
    <row r="631" spans="1:13" ht="23.1" customHeight="1" x14ac:dyDescent="0.25">
      <c r="A631" s="45"/>
      <c r="B631" s="227"/>
      <c r="C631" s="99"/>
      <c r="D631" s="104">
        <v>2024</v>
      </c>
      <c r="E631" s="102">
        <f t="shared" si="66"/>
        <v>0</v>
      </c>
      <c r="F631" s="120">
        <v>0</v>
      </c>
      <c r="G631" s="102">
        <v>0</v>
      </c>
      <c r="H631" s="102">
        <v>0</v>
      </c>
      <c r="I631" s="102">
        <v>0</v>
      </c>
      <c r="J631" s="102">
        <v>0</v>
      </c>
      <c r="K631" s="103"/>
      <c r="L631" s="149"/>
      <c r="M631" s="57"/>
    </row>
    <row r="632" spans="1:13" ht="23.1" customHeight="1" x14ac:dyDescent="0.25">
      <c r="A632" s="45"/>
      <c r="B632" s="227"/>
      <c r="C632" s="99"/>
      <c r="D632" s="104">
        <v>2025</v>
      </c>
      <c r="E632" s="102">
        <f t="shared" si="66"/>
        <v>0</v>
      </c>
      <c r="F632" s="120">
        <v>0</v>
      </c>
      <c r="G632" s="102">
        <v>0</v>
      </c>
      <c r="H632" s="102">
        <v>0</v>
      </c>
      <c r="I632" s="102">
        <v>0</v>
      </c>
      <c r="J632" s="102">
        <v>0</v>
      </c>
      <c r="K632" s="103"/>
      <c r="L632" s="149"/>
      <c r="M632" s="57"/>
    </row>
    <row r="633" spans="1:13" ht="23.1" customHeight="1" x14ac:dyDescent="0.25">
      <c r="A633" s="46"/>
      <c r="B633" s="228"/>
      <c r="C633" s="107"/>
      <c r="D633" s="104">
        <v>2026</v>
      </c>
      <c r="E633" s="102">
        <f t="shared" ref="E633" si="70">F633+G633+H633+J633</f>
        <v>0</v>
      </c>
      <c r="F633" s="120">
        <v>0</v>
      </c>
      <c r="G633" s="102">
        <v>0</v>
      </c>
      <c r="H633" s="102">
        <v>0</v>
      </c>
      <c r="I633" s="102">
        <v>0</v>
      </c>
      <c r="J633" s="102">
        <v>0</v>
      </c>
      <c r="K633" s="109"/>
      <c r="L633" s="156"/>
      <c r="M633" s="57"/>
    </row>
    <row r="634" spans="1:13" ht="23.1" customHeight="1" thickBot="1" x14ac:dyDescent="0.3">
      <c r="A634" s="47"/>
      <c r="B634" s="229"/>
      <c r="C634" s="111"/>
      <c r="D634" s="159">
        <v>2027</v>
      </c>
      <c r="E634" s="113">
        <f t="shared" si="66"/>
        <v>0</v>
      </c>
      <c r="F634" s="123">
        <v>0</v>
      </c>
      <c r="G634" s="113">
        <v>0</v>
      </c>
      <c r="H634" s="113">
        <v>0</v>
      </c>
      <c r="I634" s="113">
        <v>0</v>
      </c>
      <c r="J634" s="113">
        <v>0</v>
      </c>
      <c r="K634" s="114"/>
      <c r="L634" s="160"/>
      <c r="M634" s="57"/>
    </row>
    <row r="635" spans="1:13" ht="23.45" customHeight="1" x14ac:dyDescent="0.25">
      <c r="A635" s="37" t="s">
        <v>143</v>
      </c>
      <c r="B635" s="226" t="s">
        <v>144</v>
      </c>
      <c r="C635" s="141" t="e">
        <f>#REF!+#REF!+#REF!+#REF!+#REF!+#REF!+#REF!+#REF!</f>
        <v>#REF!</v>
      </c>
      <c r="D635" s="143">
        <v>2018</v>
      </c>
      <c r="E635" s="144">
        <f t="shared" si="66"/>
        <v>0</v>
      </c>
      <c r="F635" s="144">
        <v>0</v>
      </c>
      <c r="G635" s="144">
        <v>0</v>
      </c>
      <c r="H635" s="144">
        <v>0</v>
      </c>
      <c r="I635" s="144">
        <v>0</v>
      </c>
      <c r="J635" s="144">
        <v>0</v>
      </c>
      <c r="K635" s="145" t="s">
        <v>146</v>
      </c>
      <c r="L635" s="146" t="s">
        <v>31</v>
      </c>
      <c r="M635" s="57"/>
    </row>
    <row r="636" spans="1:13" ht="23.45" customHeight="1" x14ac:dyDescent="0.25">
      <c r="A636" s="38"/>
      <c r="B636" s="227"/>
      <c r="C636" s="99"/>
      <c r="D636" s="101">
        <v>2019</v>
      </c>
      <c r="E636" s="102">
        <f t="shared" si="66"/>
        <v>557.79999999999995</v>
      </c>
      <c r="F636" s="102">
        <v>0</v>
      </c>
      <c r="G636" s="102">
        <v>0</v>
      </c>
      <c r="H636" s="102">
        <v>557.79999999999995</v>
      </c>
      <c r="I636" s="102">
        <v>0</v>
      </c>
      <c r="J636" s="102">
        <v>0</v>
      </c>
      <c r="K636" s="103"/>
      <c r="L636" s="149"/>
      <c r="M636" s="57"/>
    </row>
    <row r="637" spans="1:13" ht="23.45" customHeight="1" x14ac:dyDescent="0.25">
      <c r="A637" s="38"/>
      <c r="B637" s="227"/>
      <c r="C637" s="99"/>
      <c r="D637" s="104">
        <v>2020</v>
      </c>
      <c r="E637" s="102">
        <f t="shared" si="66"/>
        <v>296.10000000000002</v>
      </c>
      <c r="F637" s="120">
        <v>0</v>
      </c>
      <c r="G637" s="102">
        <v>0</v>
      </c>
      <c r="H637" s="102">
        <v>296.10000000000002</v>
      </c>
      <c r="I637" s="102">
        <v>0</v>
      </c>
      <c r="J637" s="102">
        <v>0</v>
      </c>
      <c r="K637" s="103"/>
      <c r="L637" s="149"/>
      <c r="M637" s="57"/>
    </row>
    <row r="638" spans="1:13" ht="23.45" customHeight="1" x14ac:dyDescent="0.25">
      <c r="A638" s="38"/>
      <c r="B638" s="227"/>
      <c r="C638" s="99"/>
      <c r="D638" s="104">
        <v>2021</v>
      </c>
      <c r="E638" s="102">
        <f t="shared" si="66"/>
        <v>0</v>
      </c>
      <c r="F638" s="120">
        <v>0</v>
      </c>
      <c r="G638" s="102">
        <v>0</v>
      </c>
      <c r="H638" s="102">
        <v>0</v>
      </c>
      <c r="I638" s="102">
        <v>0</v>
      </c>
      <c r="J638" s="102">
        <v>0</v>
      </c>
      <c r="K638" s="103"/>
      <c r="L638" s="149"/>
      <c r="M638" s="57"/>
    </row>
    <row r="639" spans="1:13" ht="23.45" customHeight="1" x14ac:dyDescent="0.25">
      <c r="A639" s="38"/>
      <c r="B639" s="227"/>
      <c r="C639" s="99"/>
      <c r="D639" s="104">
        <v>2022</v>
      </c>
      <c r="E639" s="102">
        <f t="shared" si="66"/>
        <v>0</v>
      </c>
      <c r="F639" s="120">
        <v>0</v>
      </c>
      <c r="G639" s="102">
        <v>0</v>
      </c>
      <c r="H639" s="102">
        <v>0</v>
      </c>
      <c r="I639" s="102">
        <v>0</v>
      </c>
      <c r="J639" s="102">
        <v>0</v>
      </c>
      <c r="K639" s="103"/>
      <c r="L639" s="149"/>
      <c r="M639" s="57"/>
    </row>
    <row r="640" spans="1:13" ht="23.45" customHeight="1" x14ac:dyDescent="0.25">
      <c r="A640" s="38"/>
      <c r="B640" s="227"/>
      <c r="C640" s="99"/>
      <c r="D640" s="104">
        <v>2023</v>
      </c>
      <c r="E640" s="102">
        <f t="shared" si="66"/>
        <v>0</v>
      </c>
      <c r="F640" s="120">
        <v>0</v>
      </c>
      <c r="G640" s="102">
        <v>0</v>
      </c>
      <c r="H640" s="102">
        <v>0</v>
      </c>
      <c r="I640" s="102">
        <v>0</v>
      </c>
      <c r="J640" s="102">
        <v>0</v>
      </c>
      <c r="K640" s="103"/>
      <c r="L640" s="149"/>
      <c r="M640" s="57"/>
    </row>
    <row r="641" spans="1:13" ht="23.45" customHeight="1" x14ac:dyDescent="0.25">
      <c r="A641" s="38"/>
      <c r="B641" s="227"/>
      <c r="C641" s="99"/>
      <c r="D641" s="104">
        <v>2024</v>
      </c>
      <c r="E641" s="102">
        <f t="shared" si="66"/>
        <v>0</v>
      </c>
      <c r="F641" s="120">
        <v>0</v>
      </c>
      <c r="G641" s="102">
        <v>0</v>
      </c>
      <c r="H641" s="102">
        <v>0</v>
      </c>
      <c r="I641" s="102">
        <v>0</v>
      </c>
      <c r="J641" s="102">
        <v>0</v>
      </c>
      <c r="K641" s="103"/>
      <c r="L641" s="149"/>
      <c r="M641" s="57"/>
    </row>
    <row r="642" spans="1:13" ht="23.45" customHeight="1" x14ac:dyDescent="0.25">
      <c r="A642" s="38"/>
      <c r="B642" s="227"/>
      <c r="C642" s="99"/>
      <c r="D642" s="104">
        <v>2025</v>
      </c>
      <c r="E642" s="102">
        <f t="shared" si="66"/>
        <v>0</v>
      </c>
      <c r="F642" s="120">
        <v>0</v>
      </c>
      <c r="G642" s="102">
        <v>0</v>
      </c>
      <c r="H642" s="102">
        <v>0</v>
      </c>
      <c r="I642" s="102">
        <v>0</v>
      </c>
      <c r="J642" s="102">
        <v>0</v>
      </c>
      <c r="K642" s="103"/>
      <c r="L642" s="149"/>
      <c r="M642" s="57"/>
    </row>
    <row r="643" spans="1:13" ht="23.45" customHeight="1" x14ac:dyDescent="0.25">
      <c r="A643" s="38"/>
      <c r="B643" s="227"/>
      <c r="C643" s="100"/>
      <c r="D643" s="104">
        <v>2026</v>
      </c>
      <c r="E643" s="102">
        <f t="shared" ref="E643" si="71">F643+G643+H643+J643</f>
        <v>0</v>
      </c>
      <c r="F643" s="120">
        <v>0</v>
      </c>
      <c r="G643" s="102">
        <v>0</v>
      </c>
      <c r="H643" s="102">
        <v>0</v>
      </c>
      <c r="I643" s="102">
        <v>0</v>
      </c>
      <c r="J643" s="102">
        <v>0</v>
      </c>
      <c r="K643" s="103"/>
      <c r="L643" s="149"/>
      <c r="M643" s="57"/>
    </row>
    <row r="644" spans="1:13" ht="23.45" customHeight="1" x14ac:dyDescent="0.25">
      <c r="A644" s="38"/>
      <c r="B644" s="227"/>
      <c r="C644" s="100"/>
      <c r="D644" s="104">
        <v>2027</v>
      </c>
      <c r="E644" s="102">
        <f t="shared" si="66"/>
        <v>0</v>
      </c>
      <c r="F644" s="120">
        <v>0</v>
      </c>
      <c r="G644" s="102">
        <v>0</v>
      </c>
      <c r="H644" s="102">
        <v>0</v>
      </c>
      <c r="I644" s="102">
        <v>0</v>
      </c>
      <c r="J644" s="102">
        <v>0</v>
      </c>
      <c r="K644" s="103"/>
      <c r="L644" s="149"/>
      <c r="M644" s="57"/>
    </row>
    <row r="645" spans="1:13" ht="23.45" customHeight="1" x14ac:dyDescent="0.25">
      <c r="A645" s="38"/>
      <c r="B645" s="228" t="s">
        <v>145</v>
      </c>
      <c r="C645" s="99" t="e">
        <f>#REF!+#REF!+#REF!+#REF!+#REF!+#REF!+#REF!+#REF!</f>
        <v>#REF!</v>
      </c>
      <c r="D645" s="101">
        <v>2018</v>
      </c>
      <c r="E645" s="102">
        <f t="shared" si="66"/>
        <v>0</v>
      </c>
      <c r="F645" s="102">
        <v>0</v>
      </c>
      <c r="G645" s="102">
        <v>0</v>
      </c>
      <c r="H645" s="102">
        <v>0</v>
      </c>
      <c r="I645" s="102">
        <v>0</v>
      </c>
      <c r="J645" s="102">
        <v>0</v>
      </c>
      <c r="K645" s="103" t="s">
        <v>290</v>
      </c>
      <c r="L645" s="149" t="s">
        <v>147</v>
      </c>
      <c r="M645" s="57"/>
    </row>
    <row r="646" spans="1:13" ht="23.45" customHeight="1" x14ac:dyDescent="0.25">
      <c r="A646" s="38"/>
      <c r="B646" s="238"/>
      <c r="C646" s="99"/>
      <c r="D646" s="101">
        <v>2019</v>
      </c>
      <c r="E646" s="102">
        <f t="shared" si="66"/>
        <v>0</v>
      </c>
      <c r="F646" s="102">
        <v>0</v>
      </c>
      <c r="G646" s="102">
        <v>0</v>
      </c>
      <c r="H646" s="102">
        <v>0</v>
      </c>
      <c r="I646" s="102">
        <v>0</v>
      </c>
      <c r="J646" s="102">
        <v>0</v>
      </c>
      <c r="K646" s="103"/>
      <c r="L646" s="149"/>
      <c r="M646" s="57"/>
    </row>
    <row r="647" spans="1:13" ht="23.45" customHeight="1" x14ac:dyDescent="0.25">
      <c r="A647" s="38"/>
      <c r="B647" s="238"/>
      <c r="C647" s="99"/>
      <c r="D647" s="104">
        <v>2020</v>
      </c>
      <c r="E647" s="102">
        <f t="shared" si="66"/>
        <v>768.5</v>
      </c>
      <c r="F647" s="120">
        <v>0</v>
      </c>
      <c r="G647" s="102">
        <v>0</v>
      </c>
      <c r="H647" s="102">
        <v>768.5</v>
      </c>
      <c r="I647" s="102">
        <v>0</v>
      </c>
      <c r="J647" s="102">
        <v>0</v>
      </c>
      <c r="K647" s="103"/>
      <c r="L647" s="149"/>
      <c r="M647" s="57"/>
    </row>
    <row r="648" spans="1:13" ht="23.45" customHeight="1" x14ac:dyDescent="0.25">
      <c r="A648" s="38"/>
      <c r="B648" s="238"/>
      <c r="C648" s="99"/>
      <c r="D648" s="104">
        <v>2021</v>
      </c>
      <c r="E648" s="102">
        <f t="shared" si="66"/>
        <v>0</v>
      </c>
      <c r="F648" s="120">
        <v>0</v>
      </c>
      <c r="G648" s="102">
        <v>0</v>
      </c>
      <c r="H648" s="102">
        <v>0</v>
      </c>
      <c r="I648" s="102">
        <v>0</v>
      </c>
      <c r="J648" s="102">
        <v>0</v>
      </c>
      <c r="K648" s="103"/>
      <c r="L648" s="149"/>
      <c r="M648" s="57"/>
    </row>
    <row r="649" spans="1:13" ht="23.45" customHeight="1" x14ac:dyDescent="0.25">
      <c r="A649" s="38"/>
      <c r="B649" s="238"/>
      <c r="C649" s="99"/>
      <c r="D649" s="104">
        <v>2022</v>
      </c>
      <c r="E649" s="102">
        <f t="shared" si="66"/>
        <v>0</v>
      </c>
      <c r="F649" s="120">
        <v>0</v>
      </c>
      <c r="G649" s="102">
        <v>0</v>
      </c>
      <c r="H649" s="102">
        <v>0</v>
      </c>
      <c r="I649" s="102">
        <v>0</v>
      </c>
      <c r="J649" s="102">
        <v>0</v>
      </c>
      <c r="K649" s="103"/>
      <c r="L649" s="149"/>
      <c r="M649" s="57"/>
    </row>
    <row r="650" spans="1:13" ht="23.45" customHeight="1" x14ac:dyDescent="0.25">
      <c r="A650" s="38"/>
      <c r="B650" s="238"/>
      <c r="C650" s="99"/>
      <c r="D650" s="104">
        <v>2023</v>
      </c>
      <c r="E650" s="102">
        <f t="shared" si="66"/>
        <v>0</v>
      </c>
      <c r="F650" s="120">
        <v>0</v>
      </c>
      <c r="G650" s="102">
        <v>0</v>
      </c>
      <c r="H650" s="102">
        <v>0</v>
      </c>
      <c r="I650" s="102">
        <v>0</v>
      </c>
      <c r="J650" s="102">
        <v>0</v>
      </c>
      <c r="K650" s="103"/>
      <c r="L650" s="149"/>
      <c r="M650" s="57"/>
    </row>
    <row r="651" spans="1:13" ht="23.45" customHeight="1" x14ac:dyDescent="0.25">
      <c r="A651" s="38"/>
      <c r="B651" s="238"/>
      <c r="C651" s="99"/>
      <c r="D651" s="104">
        <v>2024</v>
      </c>
      <c r="E651" s="102">
        <f t="shared" si="66"/>
        <v>0</v>
      </c>
      <c r="F651" s="120">
        <v>0</v>
      </c>
      <c r="G651" s="102">
        <v>0</v>
      </c>
      <c r="H651" s="102">
        <v>0</v>
      </c>
      <c r="I651" s="102">
        <v>0</v>
      </c>
      <c r="J651" s="102">
        <v>0</v>
      </c>
      <c r="K651" s="103"/>
      <c r="L651" s="149"/>
      <c r="M651" s="57"/>
    </row>
    <row r="652" spans="1:13" ht="23.45" customHeight="1" x14ac:dyDescent="0.25">
      <c r="A652" s="38"/>
      <c r="B652" s="238"/>
      <c r="C652" s="99"/>
      <c r="D652" s="104">
        <v>2025</v>
      </c>
      <c r="E652" s="102">
        <f t="shared" si="66"/>
        <v>0</v>
      </c>
      <c r="F652" s="120">
        <v>0</v>
      </c>
      <c r="G652" s="102">
        <v>0</v>
      </c>
      <c r="H652" s="102">
        <v>0</v>
      </c>
      <c r="I652" s="102">
        <v>0</v>
      </c>
      <c r="J652" s="102">
        <v>0</v>
      </c>
      <c r="K652" s="103"/>
      <c r="L652" s="149"/>
      <c r="M652" s="57"/>
    </row>
    <row r="653" spans="1:13" ht="23.45" customHeight="1" x14ac:dyDescent="0.25">
      <c r="A653" s="38"/>
      <c r="B653" s="238"/>
      <c r="C653" s="107"/>
      <c r="D653" s="104">
        <v>2026</v>
      </c>
      <c r="E653" s="102">
        <f t="shared" ref="E653" si="72">F653+G653+H653+J653</f>
        <v>0</v>
      </c>
      <c r="F653" s="120">
        <v>0</v>
      </c>
      <c r="G653" s="102">
        <v>0</v>
      </c>
      <c r="H653" s="102">
        <v>0</v>
      </c>
      <c r="I653" s="102">
        <v>0</v>
      </c>
      <c r="J653" s="102">
        <v>0</v>
      </c>
      <c r="K653" s="109"/>
      <c r="L653" s="156"/>
      <c r="M653" s="57"/>
    </row>
    <row r="654" spans="1:13" ht="23.45" customHeight="1" thickBot="1" x14ac:dyDescent="0.3">
      <c r="A654" s="39"/>
      <c r="B654" s="249"/>
      <c r="C654" s="111"/>
      <c r="D654" s="159">
        <v>2027</v>
      </c>
      <c r="E654" s="113">
        <f t="shared" si="66"/>
        <v>0</v>
      </c>
      <c r="F654" s="123">
        <v>0</v>
      </c>
      <c r="G654" s="113">
        <v>0</v>
      </c>
      <c r="H654" s="113">
        <v>0</v>
      </c>
      <c r="I654" s="113">
        <v>0</v>
      </c>
      <c r="J654" s="113">
        <v>0</v>
      </c>
      <c r="K654" s="114"/>
      <c r="L654" s="160"/>
      <c r="M654" s="57"/>
    </row>
    <row r="655" spans="1:13" ht="23.45" customHeight="1" x14ac:dyDescent="0.25">
      <c r="A655" s="48" t="s">
        <v>199</v>
      </c>
      <c r="B655" s="226" t="s">
        <v>148</v>
      </c>
      <c r="C655" s="141" t="e">
        <f>#REF!+#REF!+#REF!+#REF!+#REF!+#REF!+#REF!+#REF!</f>
        <v>#REF!</v>
      </c>
      <c r="D655" s="143">
        <v>2018</v>
      </c>
      <c r="E655" s="144">
        <f t="shared" si="66"/>
        <v>0</v>
      </c>
      <c r="F655" s="144">
        <v>0</v>
      </c>
      <c r="G655" s="144">
        <v>0</v>
      </c>
      <c r="H655" s="144">
        <v>0</v>
      </c>
      <c r="I655" s="144">
        <v>0</v>
      </c>
      <c r="J655" s="144">
        <v>0</v>
      </c>
      <c r="K655" s="145" t="s">
        <v>149</v>
      </c>
      <c r="L655" s="146" t="s">
        <v>150</v>
      </c>
      <c r="M655" s="57"/>
    </row>
    <row r="656" spans="1:13" ht="23.45" customHeight="1" x14ac:dyDescent="0.25">
      <c r="A656" s="45"/>
      <c r="B656" s="227"/>
      <c r="C656" s="99"/>
      <c r="D656" s="101">
        <v>2019</v>
      </c>
      <c r="E656" s="102">
        <f t="shared" si="66"/>
        <v>0</v>
      </c>
      <c r="F656" s="102">
        <v>0</v>
      </c>
      <c r="G656" s="102">
        <v>0</v>
      </c>
      <c r="H656" s="102">
        <v>0</v>
      </c>
      <c r="I656" s="102">
        <v>0</v>
      </c>
      <c r="J656" s="102">
        <v>0</v>
      </c>
      <c r="K656" s="103"/>
      <c r="L656" s="149"/>
      <c r="M656" s="57"/>
    </row>
    <row r="657" spans="1:13" ht="23.45" customHeight="1" x14ac:dyDescent="0.25">
      <c r="A657" s="45"/>
      <c r="B657" s="227"/>
      <c r="C657" s="99"/>
      <c r="D657" s="104">
        <v>2020</v>
      </c>
      <c r="E657" s="102">
        <f t="shared" si="66"/>
        <v>0</v>
      </c>
      <c r="F657" s="120">
        <v>0</v>
      </c>
      <c r="G657" s="102">
        <v>0</v>
      </c>
      <c r="H657" s="102">
        <v>0</v>
      </c>
      <c r="I657" s="102">
        <v>0</v>
      </c>
      <c r="J657" s="102">
        <v>0</v>
      </c>
      <c r="K657" s="103"/>
      <c r="L657" s="149"/>
      <c r="M657" s="57"/>
    </row>
    <row r="658" spans="1:13" ht="23.45" customHeight="1" x14ac:dyDescent="0.25">
      <c r="A658" s="45"/>
      <c r="B658" s="227"/>
      <c r="C658" s="99"/>
      <c r="D658" s="104">
        <v>2021</v>
      </c>
      <c r="E658" s="102">
        <f t="shared" si="66"/>
        <v>0</v>
      </c>
      <c r="F658" s="120">
        <v>0</v>
      </c>
      <c r="G658" s="102">
        <v>0</v>
      </c>
      <c r="H658" s="102">
        <v>0</v>
      </c>
      <c r="I658" s="102">
        <v>0</v>
      </c>
      <c r="J658" s="102">
        <v>0</v>
      </c>
      <c r="K658" s="103"/>
      <c r="L658" s="149"/>
      <c r="M658" s="57"/>
    </row>
    <row r="659" spans="1:13" ht="23.45" customHeight="1" x14ac:dyDescent="0.25">
      <c r="A659" s="45"/>
      <c r="B659" s="227"/>
      <c r="C659" s="99"/>
      <c r="D659" s="104">
        <v>2022</v>
      </c>
      <c r="E659" s="102">
        <f t="shared" si="66"/>
        <v>0</v>
      </c>
      <c r="F659" s="120">
        <v>0</v>
      </c>
      <c r="G659" s="102">
        <v>0</v>
      </c>
      <c r="H659" s="102">
        <v>0</v>
      </c>
      <c r="I659" s="102">
        <v>0</v>
      </c>
      <c r="J659" s="102">
        <v>0</v>
      </c>
      <c r="K659" s="103"/>
      <c r="L659" s="149"/>
      <c r="M659" s="57"/>
    </row>
    <row r="660" spans="1:13" ht="23.45" customHeight="1" x14ac:dyDescent="0.25">
      <c r="A660" s="45"/>
      <c r="B660" s="227"/>
      <c r="C660" s="99"/>
      <c r="D660" s="104">
        <v>2023</v>
      </c>
      <c r="E660" s="102">
        <f t="shared" si="66"/>
        <v>0</v>
      </c>
      <c r="F660" s="120">
        <v>0</v>
      </c>
      <c r="G660" s="102">
        <v>0</v>
      </c>
      <c r="H660" s="102">
        <v>0</v>
      </c>
      <c r="I660" s="102">
        <v>0</v>
      </c>
      <c r="J660" s="102">
        <v>0</v>
      </c>
      <c r="K660" s="103"/>
      <c r="L660" s="149"/>
      <c r="M660" s="57"/>
    </row>
    <row r="661" spans="1:13" ht="23.45" customHeight="1" x14ac:dyDescent="0.25">
      <c r="A661" s="45"/>
      <c r="B661" s="227"/>
      <c r="C661" s="99"/>
      <c r="D661" s="104">
        <v>2024</v>
      </c>
      <c r="E661" s="102">
        <f t="shared" si="66"/>
        <v>0</v>
      </c>
      <c r="F661" s="120">
        <v>0</v>
      </c>
      <c r="G661" s="102">
        <v>0</v>
      </c>
      <c r="H661" s="102">
        <v>0</v>
      </c>
      <c r="I661" s="102">
        <v>0</v>
      </c>
      <c r="J661" s="102">
        <v>0</v>
      </c>
      <c r="K661" s="103"/>
      <c r="L661" s="149"/>
      <c r="M661" s="57"/>
    </row>
    <row r="662" spans="1:13" ht="23.45" customHeight="1" x14ac:dyDescent="0.25">
      <c r="A662" s="45"/>
      <c r="B662" s="227"/>
      <c r="C662" s="99"/>
      <c r="D662" s="104">
        <v>2025</v>
      </c>
      <c r="E662" s="102">
        <f t="shared" si="66"/>
        <v>0</v>
      </c>
      <c r="F662" s="120">
        <v>0</v>
      </c>
      <c r="G662" s="102">
        <v>0</v>
      </c>
      <c r="H662" s="102">
        <v>0</v>
      </c>
      <c r="I662" s="102">
        <v>0</v>
      </c>
      <c r="J662" s="102">
        <v>0</v>
      </c>
      <c r="K662" s="103"/>
      <c r="L662" s="149"/>
      <c r="M662" s="57"/>
    </row>
    <row r="663" spans="1:13" ht="23.45" customHeight="1" x14ac:dyDescent="0.25">
      <c r="A663" s="46"/>
      <c r="B663" s="228"/>
      <c r="C663" s="107"/>
      <c r="D663" s="108">
        <v>2026</v>
      </c>
      <c r="E663" s="102">
        <f t="shared" ref="E663" si="73">F663+G663+H663+J663</f>
        <v>0</v>
      </c>
      <c r="F663" s="120">
        <v>0</v>
      </c>
      <c r="G663" s="102">
        <v>0</v>
      </c>
      <c r="H663" s="102">
        <v>0</v>
      </c>
      <c r="I663" s="102">
        <v>0</v>
      </c>
      <c r="J663" s="102">
        <v>0</v>
      </c>
      <c r="K663" s="109"/>
      <c r="L663" s="156"/>
      <c r="M663" s="57"/>
    </row>
    <row r="664" spans="1:13" ht="23.45" customHeight="1" thickBot="1" x14ac:dyDescent="0.3">
      <c r="A664" s="47"/>
      <c r="B664" s="229"/>
      <c r="C664" s="111"/>
      <c r="D664" s="122">
        <v>2027</v>
      </c>
      <c r="E664" s="113">
        <f t="shared" si="66"/>
        <v>0</v>
      </c>
      <c r="F664" s="123">
        <v>0</v>
      </c>
      <c r="G664" s="113">
        <v>0</v>
      </c>
      <c r="H664" s="113">
        <v>0</v>
      </c>
      <c r="I664" s="113">
        <v>0</v>
      </c>
      <c r="J664" s="113">
        <v>0</v>
      </c>
      <c r="K664" s="114"/>
      <c r="L664" s="160"/>
      <c r="M664" s="57"/>
    </row>
    <row r="665" spans="1:13" ht="23.45" customHeight="1" x14ac:dyDescent="0.25">
      <c r="A665" s="48" t="s">
        <v>151</v>
      </c>
      <c r="B665" s="226" t="s">
        <v>152</v>
      </c>
      <c r="C665" s="141" t="e">
        <f>#REF!+#REF!+#REF!+#REF!+#REF!+#REF!+#REF!+#REF!</f>
        <v>#REF!</v>
      </c>
      <c r="D665" s="143">
        <v>2018</v>
      </c>
      <c r="E665" s="144">
        <f t="shared" si="66"/>
        <v>0</v>
      </c>
      <c r="F665" s="144">
        <v>0</v>
      </c>
      <c r="G665" s="144">
        <v>0</v>
      </c>
      <c r="H665" s="144">
        <v>0</v>
      </c>
      <c r="I665" s="144">
        <v>0</v>
      </c>
      <c r="J665" s="144">
        <v>0</v>
      </c>
      <c r="K665" s="145" t="s">
        <v>184</v>
      </c>
      <c r="L665" s="146" t="s">
        <v>6</v>
      </c>
      <c r="M665" s="57"/>
    </row>
    <row r="666" spans="1:13" ht="23.45" customHeight="1" x14ac:dyDescent="0.25">
      <c r="A666" s="45"/>
      <c r="B666" s="227"/>
      <c r="C666" s="99"/>
      <c r="D666" s="101">
        <v>2019</v>
      </c>
      <c r="E666" s="102">
        <f t="shared" si="66"/>
        <v>0</v>
      </c>
      <c r="F666" s="102">
        <v>0</v>
      </c>
      <c r="G666" s="102">
        <v>0</v>
      </c>
      <c r="H666" s="102">
        <v>0</v>
      </c>
      <c r="I666" s="102">
        <v>0</v>
      </c>
      <c r="J666" s="102">
        <v>0</v>
      </c>
      <c r="K666" s="103"/>
      <c r="L666" s="149"/>
      <c r="M666" s="57"/>
    </row>
    <row r="667" spans="1:13" ht="23.45" customHeight="1" x14ac:dyDescent="0.25">
      <c r="A667" s="45"/>
      <c r="B667" s="227"/>
      <c r="C667" s="99"/>
      <c r="D667" s="104">
        <v>2020</v>
      </c>
      <c r="E667" s="102">
        <f t="shared" si="66"/>
        <v>30040.7</v>
      </c>
      <c r="F667" s="120">
        <v>0</v>
      </c>
      <c r="G667" s="102">
        <v>27996</v>
      </c>
      <c r="H667" s="102">
        <v>2044.7</v>
      </c>
      <c r="I667" s="102">
        <v>1473.5</v>
      </c>
      <c r="J667" s="102">
        <v>0</v>
      </c>
      <c r="K667" s="103"/>
      <c r="L667" s="149"/>
      <c r="M667" s="57"/>
    </row>
    <row r="668" spans="1:13" ht="23.45" customHeight="1" x14ac:dyDescent="0.25">
      <c r="A668" s="45"/>
      <c r="B668" s="227"/>
      <c r="C668" s="99"/>
      <c r="D668" s="104">
        <v>2021</v>
      </c>
      <c r="E668" s="102">
        <f t="shared" si="66"/>
        <v>78410.8</v>
      </c>
      <c r="F668" s="120">
        <v>0</v>
      </c>
      <c r="G668" s="102">
        <v>72377.600000000006</v>
      </c>
      <c r="H668" s="102">
        <v>6033.2</v>
      </c>
      <c r="I668" s="102">
        <v>3809.4</v>
      </c>
      <c r="J668" s="102">
        <v>0</v>
      </c>
      <c r="K668" s="103"/>
      <c r="L668" s="149"/>
      <c r="M668" s="57"/>
    </row>
    <row r="669" spans="1:13" ht="23.45" customHeight="1" x14ac:dyDescent="0.25">
      <c r="A669" s="45"/>
      <c r="B669" s="227"/>
      <c r="C669" s="99"/>
      <c r="D669" s="104">
        <v>2022</v>
      </c>
      <c r="E669" s="102">
        <f t="shared" si="66"/>
        <v>65579.8</v>
      </c>
      <c r="F669" s="120">
        <v>0</v>
      </c>
      <c r="G669" s="102">
        <v>62300.800000000003</v>
      </c>
      <c r="H669" s="102">
        <f>3279.1-0.1</f>
        <v>3279</v>
      </c>
      <c r="I669" s="102">
        <v>3279</v>
      </c>
      <c r="J669" s="102">
        <v>0</v>
      </c>
      <c r="K669" s="103"/>
      <c r="L669" s="149"/>
      <c r="M669" s="57"/>
    </row>
    <row r="670" spans="1:13" ht="23.45" customHeight="1" x14ac:dyDescent="0.25">
      <c r="A670" s="45"/>
      <c r="B670" s="227"/>
      <c r="C670" s="99"/>
      <c r="D670" s="104">
        <v>2023</v>
      </c>
      <c r="E670" s="102">
        <f t="shared" si="66"/>
        <v>68998.5</v>
      </c>
      <c r="F670" s="120">
        <v>0</v>
      </c>
      <c r="G670" s="102">
        <f>61465.1+4083.4</f>
        <v>65548.5</v>
      </c>
      <c r="H670" s="102">
        <f>I670</f>
        <v>3450</v>
      </c>
      <c r="I670" s="102">
        <f>3235.1+214.9</f>
        <v>3450</v>
      </c>
      <c r="J670" s="102">
        <v>0</v>
      </c>
      <c r="K670" s="103"/>
      <c r="L670" s="149"/>
      <c r="M670" s="57"/>
    </row>
    <row r="671" spans="1:13" ht="23.45" customHeight="1" x14ac:dyDescent="0.25">
      <c r="A671" s="45"/>
      <c r="B671" s="227"/>
      <c r="C671" s="99"/>
      <c r="D671" s="104">
        <v>2024</v>
      </c>
      <c r="E671" s="102">
        <f>F671+G671+H671+J671</f>
        <v>85406.6</v>
      </c>
      <c r="F671" s="120">
        <v>0</v>
      </c>
      <c r="G671" s="121">
        <f>76233.1+4431.6</f>
        <v>80664.700000000012</v>
      </c>
      <c r="H671" s="121">
        <f>I671+496.3</f>
        <v>4741.9000000000005</v>
      </c>
      <c r="I671" s="121">
        <f>4012.3+729.6-496.3</f>
        <v>4245.6000000000004</v>
      </c>
      <c r="J671" s="102">
        <v>0</v>
      </c>
      <c r="K671" s="103"/>
      <c r="L671" s="149"/>
      <c r="M671" s="57"/>
    </row>
    <row r="672" spans="1:13" ht="23.45" customHeight="1" x14ac:dyDescent="0.25">
      <c r="A672" s="45"/>
      <c r="B672" s="227"/>
      <c r="C672" s="99"/>
      <c r="D672" s="104">
        <v>2025</v>
      </c>
      <c r="E672" s="102">
        <f>F672+G672+H672+J672</f>
        <v>87941.6</v>
      </c>
      <c r="F672" s="120">
        <v>0</v>
      </c>
      <c r="G672" s="121">
        <v>83544.5</v>
      </c>
      <c r="H672" s="121">
        <f>I672</f>
        <v>4397.1000000000004</v>
      </c>
      <c r="I672" s="121">
        <f>4397.1</f>
        <v>4397.1000000000004</v>
      </c>
      <c r="J672" s="102">
        <v>0</v>
      </c>
      <c r="K672" s="103"/>
      <c r="L672" s="149"/>
      <c r="M672" s="57"/>
    </row>
    <row r="673" spans="1:13" ht="23.45" customHeight="1" x14ac:dyDescent="0.25">
      <c r="A673" s="46"/>
      <c r="B673" s="228"/>
      <c r="C673" s="107"/>
      <c r="D673" s="104">
        <v>2026</v>
      </c>
      <c r="E673" s="102">
        <f>F673+G673+H673+J673</f>
        <v>91185.400000000009</v>
      </c>
      <c r="F673" s="120">
        <v>0</v>
      </c>
      <c r="G673" s="121">
        <v>86626.1</v>
      </c>
      <c r="H673" s="121">
        <f>I673</f>
        <v>4559.3</v>
      </c>
      <c r="I673" s="121">
        <f>4559.3</f>
        <v>4559.3</v>
      </c>
      <c r="J673" s="102">
        <v>0</v>
      </c>
      <c r="K673" s="109"/>
      <c r="L673" s="156"/>
      <c r="M673" s="57"/>
    </row>
    <row r="674" spans="1:13" ht="23.45" customHeight="1" thickBot="1" x14ac:dyDescent="0.3">
      <c r="A674" s="47"/>
      <c r="B674" s="229"/>
      <c r="C674" s="111"/>
      <c r="D674" s="159">
        <v>2027</v>
      </c>
      <c r="E674" s="113">
        <f>F674+G674+H674+J674</f>
        <v>4559.3</v>
      </c>
      <c r="F674" s="123">
        <v>0</v>
      </c>
      <c r="G674" s="124">
        <v>0</v>
      </c>
      <c r="H674" s="124">
        <f>I674</f>
        <v>4559.3</v>
      </c>
      <c r="I674" s="124">
        <f>4559.3</f>
        <v>4559.3</v>
      </c>
      <c r="J674" s="113">
        <v>0</v>
      </c>
      <c r="K674" s="114"/>
      <c r="L674" s="160"/>
      <c r="M674" s="57"/>
    </row>
    <row r="675" spans="1:13" ht="23.1" customHeight="1" x14ac:dyDescent="0.25">
      <c r="A675" s="48" t="s">
        <v>153</v>
      </c>
      <c r="B675" s="226" t="s">
        <v>154</v>
      </c>
      <c r="C675" s="141" t="e">
        <f>#REF!+#REF!+#REF!+#REF!+#REF!+#REF!+#REF!+#REF!</f>
        <v>#REF!</v>
      </c>
      <c r="D675" s="143">
        <v>2018</v>
      </c>
      <c r="E675" s="144">
        <f t="shared" si="66"/>
        <v>0</v>
      </c>
      <c r="F675" s="144">
        <v>0</v>
      </c>
      <c r="G675" s="144">
        <v>0</v>
      </c>
      <c r="H675" s="144">
        <v>0</v>
      </c>
      <c r="I675" s="144">
        <v>0</v>
      </c>
      <c r="J675" s="144">
        <v>0</v>
      </c>
      <c r="K675" s="145" t="s">
        <v>155</v>
      </c>
      <c r="L675" s="146" t="s">
        <v>6</v>
      </c>
      <c r="M675" s="57"/>
    </row>
    <row r="676" spans="1:13" ht="23.1" customHeight="1" x14ac:dyDescent="0.25">
      <c r="A676" s="45"/>
      <c r="B676" s="227"/>
      <c r="C676" s="99"/>
      <c r="D676" s="101">
        <v>2019</v>
      </c>
      <c r="E676" s="102">
        <f t="shared" ref="E676:E754" si="74">F676+G676+H676+J676</f>
        <v>0</v>
      </c>
      <c r="F676" s="102">
        <v>0</v>
      </c>
      <c r="G676" s="102">
        <v>0</v>
      </c>
      <c r="H676" s="102">
        <v>0</v>
      </c>
      <c r="I676" s="102">
        <v>0</v>
      </c>
      <c r="J676" s="102">
        <v>0</v>
      </c>
      <c r="K676" s="103"/>
      <c r="L676" s="149"/>
      <c r="M676" s="57"/>
    </row>
    <row r="677" spans="1:13" ht="23.1" customHeight="1" x14ac:dyDescent="0.25">
      <c r="A677" s="45"/>
      <c r="B677" s="227"/>
      <c r="C677" s="99"/>
      <c r="D677" s="104">
        <v>2020</v>
      </c>
      <c r="E677" s="102">
        <f t="shared" si="74"/>
        <v>15103.2</v>
      </c>
      <c r="F677" s="120">
        <v>15103.2</v>
      </c>
      <c r="G677" s="102">
        <v>0</v>
      </c>
      <c r="H677" s="102">
        <v>0</v>
      </c>
      <c r="I677" s="102">
        <v>0</v>
      </c>
      <c r="J677" s="102">
        <v>0</v>
      </c>
      <c r="K677" s="103"/>
      <c r="L677" s="149"/>
      <c r="M677" s="57"/>
    </row>
    <row r="678" spans="1:13" ht="23.1" customHeight="1" x14ac:dyDescent="0.25">
      <c r="A678" s="45"/>
      <c r="B678" s="227"/>
      <c r="C678" s="99"/>
      <c r="D678" s="104">
        <v>2021</v>
      </c>
      <c r="E678" s="102">
        <f t="shared" si="74"/>
        <v>45309.599999999999</v>
      </c>
      <c r="F678" s="120">
        <v>45309.599999999999</v>
      </c>
      <c r="G678" s="102">
        <v>0</v>
      </c>
      <c r="H678" s="102">
        <v>0</v>
      </c>
      <c r="I678" s="102">
        <v>0</v>
      </c>
      <c r="J678" s="102">
        <v>0</v>
      </c>
      <c r="K678" s="103"/>
      <c r="L678" s="149"/>
      <c r="M678" s="57"/>
    </row>
    <row r="679" spans="1:13" ht="23.1" customHeight="1" x14ac:dyDescent="0.25">
      <c r="A679" s="45"/>
      <c r="B679" s="227"/>
      <c r="C679" s="99"/>
      <c r="D679" s="104">
        <v>2022</v>
      </c>
      <c r="E679" s="102">
        <f t="shared" si="74"/>
        <v>45544</v>
      </c>
      <c r="F679" s="120">
        <f>41950.4+2968.6+625</f>
        <v>45544</v>
      </c>
      <c r="G679" s="102">
        <v>0</v>
      </c>
      <c r="H679" s="102">
        <v>0</v>
      </c>
      <c r="I679" s="102">
        <v>0</v>
      </c>
      <c r="J679" s="102">
        <v>0</v>
      </c>
      <c r="K679" s="103"/>
      <c r="L679" s="149"/>
      <c r="M679" s="57"/>
    </row>
    <row r="680" spans="1:13" ht="23.1" customHeight="1" x14ac:dyDescent="0.25">
      <c r="A680" s="45"/>
      <c r="B680" s="227"/>
      <c r="C680" s="99"/>
      <c r="D680" s="104">
        <v>2023</v>
      </c>
      <c r="E680" s="102">
        <f t="shared" si="74"/>
        <v>45856.4</v>
      </c>
      <c r="F680" s="120">
        <f>44997.1+859.3</f>
        <v>45856.4</v>
      </c>
      <c r="G680" s="102">
        <v>0</v>
      </c>
      <c r="H680" s="102">
        <v>0</v>
      </c>
      <c r="I680" s="102">
        <v>0</v>
      </c>
      <c r="J680" s="102">
        <v>0</v>
      </c>
      <c r="K680" s="103"/>
      <c r="L680" s="149"/>
      <c r="M680" s="57"/>
    </row>
    <row r="681" spans="1:13" ht="23.1" customHeight="1" x14ac:dyDescent="0.25">
      <c r="A681" s="45"/>
      <c r="B681" s="227"/>
      <c r="C681" s="99"/>
      <c r="D681" s="104">
        <v>2024</v>
      </c>
      <c r="E681" s="102">
        <f t="shared" si="74"/>
        <v>83783.700000000012</v>
      </c>
      <c r="F681" s="120">
        <f>44919+6999.1+786.9+28228.1+2850.6</f>
        <v>83783.700000000012</v>
      </c>
      <c r="G681" s="102">
        <v>0</v>
      </c>
      <c r="H681" s="102">
        <v>0</v>
      </c>
      <c r="I681" s="102">
        <v>0</v>
      </c>
      <c r="J681" s="102">
        <v>0</v>
      </c>
      <c r="K681" s="103"/>
      <c r="L681" s="149"/>
      <c r="M681" s="57"/>
    </row>
    <row r="682" spans="1:13" ht="23.1" customHeight="1" x14ac:dyDescent="0.25">
      <c r="A682" s="45"/>
      <c r="B682" s="227"/>
      <c r="C682" s="99"/>
      <c r="D682" s="104">
        <v>2025</v>
      </c>
      <c r="E682" s="102">
        <f t="shared" si="74"/>
        <v>44919</v>
      </c>
      <c r="F682" s="120">
        <v>44919</v>
      </c>
      <c r="G682" s="102">
        <v>0</v>
      </c>
      <c r="H682" s="102">
        <v>0</v>
      </c>
      <c r="I682" s="102">
        <v>0</v>
      </c>
      <c r="J682" s="102">
        <v>0</v>
      </c>
      <c r="K682" s="103"/>
      <c r="L682" s="149"/>
      <c r="M682" s="57"/>
    </row>
    <row r="683" spans="1:13" ht="23.1" customHeight="1" x14ac:dyDescent="0.25">
      <c r="A683" s="46"/>
      <c r="B683" s="228"/>
      <c r="C683" s="107"/>
      <c r="D683" s="104">
        <v>2026</v>
      </c>
      <c r="E683" s="102">
        <f t="shared" ref="E683" si="75">F683+G683+H683+J683</f>
        <v>44997.1</v>
      </c>
      <c r="F683" s="120">
        <v>44997.1</v>
      </c>
      <c r="G683" s="102">
        <v>0</v>
      </c>
      <c r="H683" s="102">
        <v>0</v>
      </c>
      <c r="I683" s="102">
        <v>0</v>
      </c>
      <c r="J683" s="102">
        <v>0</v>
      </c>
      <c r="K683" s="109"/>
      <c r="L683" s="156"/>
      <c r="M683" s="57"/>
    </row>
    <row r="684" spans="1:13" ht="23.1" customHeight="1" thickBot="1" x14ac:dyDescent="0.3">
      <c r="A684" s="47"/>
      <c r="B684" s="229"/>
      <c r="C684" s="111"/>
      <c r="D684" s="159">
        <v>2027</v>
      </c>
      <c r="E684" s="113">
        <f t="shared" si="74"/>
        <v>0</v>
      </c>
      <c r="F684" s="123">
        <v>0</v>
      </c>
      <c r="G684" s="113">
        <v>0</v>
      </c>
      <c r="H684" s="113">
        <v>0</v>
      </c>
      <c r="I684" s="113">
        <v>0</v>
      </c>
      <c r="J684" s="113">
        <v>0</v>
      </c>
      <c r="K684" s="114"/>
      <c r="L684" s="160"/>
      <c r="M684" s="57"/>
    </row>
    <row r="685" spans="1:13" ht="27.95" customHeight="1" x14ac:dyDescent="0.25">
      <c r="A685" s="48" t="s">
        <v>156</v>
      </c>
      <c r="B685" s="246" t="s">
        <v>157</v>
      </c>
      <c r="C685" s="141" t="e">
        <f>#REF!+#REF!+#REF!+#REF!+#REF!+#REF!+#REF!+#REF!</f>
        <v>#REF!</v>
      </c>
      <c r="D685" s="143">
        <v>2018</v>
      </c>
      <c r="E685" s="144">
        <f t="shared" si="74"/>
        <v>0</v>
      </c>
      <c r="F685" s="144">
        <v>0</v>
      </c>
      <c r="G685" s="144">
        <v>0</v>
      </c>
      <c r="H685" s="144">
        <v>0</v>
      </c>
      <c r="I685" s="144">
        <v>0</v>
      </c>
      <c r="J685" s="144">
        <v>0</v>
      </c>
      <c r="K685" s="145" t="s">
        <v>158</v>
      </c>
      <c r="L685" s="146" t="s">
        <v>6</v>
      </c>
      <c r="M685" s="57"/>
    </row>
    <row r="686" spans="1:13" ht="27.95" customHeight="1" x14ac:dyDescent="0.25">
      <c r="A686" s="45"/>
      <c r="B686" s="239"/>
      <c r="C686" s="99"/>
      <c r="D686" s="101">
        <v>2019</v>
      </c>
      <c r="E686" s="102">
        <f t="shared" si="74"/>
        <v>0</v>
      </c>
      <c r="F686" s="102">
        <v>0</v>
      </c>
      <c r="G686" s="102">
        <v>0</v>
      </c>
      <c r="H686" s="102">
        <v>0</v>
      </c>
      <c r="I686" s="102">
        <v>0</v>
      </c>
      <c r="J686" s="102">
        <v>0</v>
      </c>
      <c r="K686" s="103"/>
      <c r="L686" s="149"/>
      <c r="M686" s="57"/>
    </row>
    <row r="687" spans="1:13" ht="27.95" customHeight="1" x14ac:dyDescent="0.25">
      <c r="A687" s="45"/>
      <c r="B687" s="239"/>
      <c r="C687" s="99"/>
      <c r="D687" s="104">
        <v>2020</v>
      </c>
      <c r="E687" s="102">
        <f t="shared" si="74"/>
        <v>3076.5</v>
      </c>
      <c r="F687" s="120">
        <v>0</v>
      </c>
      <c r="G687" s="102">
        <v>2976.5</v>
      </c>
      <c r="H687" s="102">
        <v>100</v>
      </c>
      <c r="I687" s="102">
        <v>100</v>
      </c>
      <c r="J687" s="102">
        <v>0</v>
      </c>
      <c r="K687" s="103"/>
      <c r="L687" s="149"/>
      <c r="M687" s="57"/>
    </row>
    <row r="688" spans="1:13" ht="27.95" customHeight="1" x14ac:dyDescent="0.25">
      <c r="A688" s="45"/>
      <c r="B688" s="239"/>
      <c r="C688" s="99"/>
      <c r="D688" s="104">
        <v>2021</v>
      </c>
      <c r="E688" s="102">
        <f t="shared" si="74"/>
        <v>0</v>
      </c>
      <c r="F688" s="120">
        <v>0</v>
      </c>
      <c r="G688" s="102">
        <v>0</v>
      </c>
      <c r="H688" s="102">
        <v>0</v>
      </c>
      <c r="I688" s="102">
        <v>0</v>
      </c>
      <c r="J688" s="102">
        <v>0</v>
      </c>
      <c r="K688" s="103"/>
      <c r="L688" s="149"/>
      <c r="M688" s="57"/>
    </row>
    <row r="689" spans="1:13" ht="27.95" customHeight="1" x14ac:dyDescent="0.25">
      <c r="A689" s="45"/>
      <c r="B689" s="239"/>
      <c r="C689" s="99"/>
      <c r="D689" s="104">
        <v>2022</v>
      </c>
      <c r="E689" s="102">
        <f t="shared" si="74"/>
        <v>0</v>
      </c>
      <c r="F689" s="120">
        <v>0</v>
      </c>
      <c r="G689" s="102">
        <v>0</v>
      </c>
      <c r="H689" s="102">
        <v>0</v>
      </c>
      <c r="I689" s="102">
        <v>0</v>
      </c>
      <c r="J689" s="102">
        <v>0</v>
      </c>
      <c r="K689" s="103"/>
      <c r="L689" s="149"/>
      <c r="M689" s="57"/>
    </row>
    <row r="690" spans="1:13" ht="27.95" customHeight="1" x14ac:dyDescent="0.25">
      <c r="A690" s="45"/>
      <c r="B690" s="239"/>
      <c r="C690" s="99"/>
      <c r="D690" s="104">
        <v>2023</v>
      </c>
      <c r="E690" s="102">
        <f t="shared" si="74"/>
        <v>0</v>
      </c>
      <c r="F690" s="120">
        <v>0</v>
      </c>
      <c r="G690" s="102">
        <v>0</v>
      </c>
      <c r="H690" s="102">
        <v>0</v>
      </c>
      <c r="I690" s="102">
        <v>0</v>
      </c>
      <c r="J690" s="102">
        <v>0</v>
      </c>
      <c r="K690" s="103"/>
      <c r="L690" s="149"/>
      <c r="M690" s="57"/>
    </row>
    <row r="691" spans="1:13" ht="27.95" customHeight="1" x14ac:dyDescent="0.25">
      <c r="A691" s="45"/>
      <c r="B691" s="239"/>
      <c r="C691" s="99"/>
      <c r="D691" s="104">
        <v>2024</v>
      </c>
      <c r="E691" s="102">
        <f t="shared" si="74"/>
        <v>0</v>
      </c>
      <c r="F691" s="120">
        <v>0</v>
      </c>
      <c r="G691" s="102">
        <v>0</v>
      </c>
      <c r="H691" s="102">
        <v>0</v>
      </c>
      <c r="I691" s="102">
        <v>0</v>
      </c>
      <c r="J691" s="102">
        <v>0</v>
      </c>
      <c r="K691" s="103"/>
      <c r="L691" s="149"/>
      <c r="M691" s="57"/>
    </row>
    <row r="692" spans="1:13" ht="27.95" customHeight="1" x14ac:dyDescent="0.25">
      <c r="A692" s="45"/>
      <c r="B692" s="239"/>
      <c r="C692" s="99"/>
      <c r="D692" s="104">
        <v>2025</v>
      </c>
      <c r="E692" s="102">
        <f t="shared" si="74"/>
        <v>0</v>
      </c>
      <c r="F692" s="120">
        <v>0</v>
      </c>
      <c r="G692" s="102">
        <v>0</v>
      </c>
      <c r="H692" s="102">
        <v>0</v>
      </c>
      <c r="I692" s="102">
        <v>0</v>
      </c>
      <c r="J692" s="102">
        <v>0</v>
      </c>
      <c r="K692" s="103"/>
      <c r="L692" s="149"/>
      <c r="M692" s="57"/>
    </row>
    <row r="693" spans="1:13" ht="27.95" customHeight="1" x14ac:dyDescent="0.25">
      <c r="A693" s="46"/>
      <c r="B693" s="247"/>
      <c r="C693" s="107"/>
      <c r="D693" s="104">
        <v>2026</v>
      </c>
      <c r="E693" s="102">
        <f t="shared" ref="E693" si="76">F693+G693+H693+J693</f>
        <v>0</v>
      </c>
      <c r="F693" s="120">
        <v>0</v>
      </c>
      <c r="G693" s="102">
        <v>0</v>
      </c>
      <c r="H693" s="102">
        <v>0</v>
      </c>
      <c r="I693" s="102">
        <v>0</v>
      </c>
      <c r="J693" s="102">
        <v>0</v>
      </c>
      <c r="K693" s="109"/>
      <c r="L693" s="156"/>
      <c r="M693" s="57"/>
    </row>
    <row r="694" spans="1:13" ht="27.95" customHeight="1" thickBot="1" x14ac:dyDescent="0.3">
      <c r="A694" s="47"/>
      <c r="B694" s="248"/>
      <c r="C694" s="111"/>
      <c r="D694" s="159">
        <v>2027</v>
      </c>
      <c r="E694" s="113">
        <f t="shared" si="74"/>
        <v>0</v>
      </c>
      <c r="F694" s="123">
        <v>0</v>
      </c>
      <c r="G694" s="113">
        <v>0</v>
      </c>
      <c r="H694" s="113">
        <v>0</v>
      </c>
      <c r="I694" s="113">
        <v>0</v>
      </c>
      <c r="J694" s="113">
        <v>0</v>
      </c>
      <c r="K694" s="114"/>
      <c r="L694" s="160"/>
      <c r="M694" s="57"/>
    </row>
    <row r="695" spans="1:13" ht="23.1" customHeight="1" x14ac:dyDescent="0.25">
      <c r="A695" s="48" t="s">
        <v>159</v>
      </c>
      <c r="B695" s="226" t="s">
        <v>195</v>
      </c>
      <c r="C695" s="141" t="e">
        <f>#REF!+#REF!+#REF!+#REF!+#REF!+#REF!+#REF!+#REF!</f>
        <v>#REF!</v>
      </c>
      <c r="D695" s="143">
        <v>2018</v>
      </c>
      <c r="E695" s="144">
        <f t="shared" si="74"/>
        <v>0</v>
      </c>
      <c r="F695" s="144">
        <v>0</v>
      </c>
      <c r="G695" s="144">
        <v>0</v>
      </c>
      <c r="H695" s="144">
        <v>0</v>
      </c>
      <c r="I695" s="144">
        <v>0</v>
      </c>
      <c r="J695" s="144">
        <v>0</v>
      </c>
      <c r="K695" s="145" t="s">
        <v>160</v>
      </c>
      <c r="L695" s="146" t="s">
        <v>31</v>
      </c>
      <c r="M695" s="57"/>
    </row>
    <row r="696" spans="1:13" ht="23.1" customHeight="1" x14ac:dyDescent="0.25">
      <c r="A696" s="45"/>
      <c r="B696" s="227"/>
      <c r="C696" s="99"/>
      <c r="D696" s="101">
        <v>2019</v>
      </c>
      <c r="E696" s="102">
        <f t="shared" si="74"/>
        <v>0</v>
      </c>
      <c r="F696" s="102">
        <v>0</v>
      </c>
      <c r="G696" s="102">
        <v>0</v>
      </c>
      <c r="H696" s="102">
        <v>0</v>
      </c>
      <c r="I696" s="102">
        <v>0</v>
      </c>
      <c r="J696" s="102">
        <v>0</v>
      </c>
      <c r="K696" s="103"/>
      <c r="L696" s="149"/>
      <c r="M696" s="57"/>
    </row>
    <row r="697" spans="1:13" ht="23.1" customHeight="1" x14ac:dyDescent="0.25">
      <c r="A697" s="45"/>
      <c r="B697" s="227"/>
      <c r="C697" s="99"/>
      <c r="D697" s="104">
        <v>2020</v>
      </c>
      <c r="E697" s="102">
        <f t="shared" si="74"/>
        <v>862.3</v>
      </c>
      <c r="F697" s="120">
        <v>0</v>
      </c>
      <c r="G697" s="102">
        <v>0</v>
      </c>
      <c r="H697" s="102">
        <v>862.3</v>
      </c>
      <c r="I697" s="102">
        <v>0</v>
      </c>
      <c r="J697" s="102">
        <v>0</v>
      </c>
      <c r="K697" s="103"/>
      <c r="L697" s="149"/>
      <c r="M697" s="57"/>
    </row>
    <row r="698" spans="1:13" ht="23.1" customHeight="1" x14ac:dyDescent="0.25">
      <c r="A698" s="45"/>
      <c r="B698" s="227"/>
      <c r="C698" s="99"/>
      <c r="D698" s="104">
        <v>2021</v>
      </c>
      <c r="E698" s="102">
        <f t="shared" si="74"/>
        <v>2321.5</v>
      </c>
      <c r="F698" s="120">
        <v>0</v>
      </c>
      <c r="G698" s="102">
        <v>0</v>
      </c>
      <c r="H698" s="102">
        <v>2321.5</v>
      </c>
      <c r="I698" s="102">
        <v>0</v>
      </c>
      <c r="J698" s="102">
        <v>0</v>
      </c>
      <c r="K698" s="103"/>
      <c r="L698" s="149"/>
      <c r="M698" s="57"/>
    </row>
    <row r="699" spans="1:13" ht="23.1" customHeight="1" x14ac:dyDescent="0.25">
      <c r="A699" s="45"/>
      <c r="B699" s="227"/>
      <c r="C699" s="99"/>
      <c r="D699" s="104">
        <v>2022</v>
      </c>
      <c r="E699" s="102">
        <f t="shared" si="74"/>
        <v>1262.0999999999999</v>
      </c>
      <c r="F699" s="120">
        <v>0</v>
      </c>
      <c r="G699" s="102">
        <v>0</v>
      </c>
      <c r="H699" s="102">
        <v>1262.0999999999999</v>
      </c>
      <c r="I699" s="102">
        <v>0</v>
      </c>
      <c r="J699" s="102">
        <v>0</v>
      </c>
      <c r="K699" s="103"/>
      <c r="L699" s="149"/>
      <c r="M699" s="57"/>
    </row>
    <row r="700" spans="1:13" ht="23.1" customHeight="1" x14ac:dyDescent="0.25">
      <c r="A700" s="45"/>
      <c r="B700" s="227"/>
      <c r="C700" s="99"/>
      <c r="D700" s="104">
        <v>2023</v>
      </c>
      <c r="E700" s="102">
        <f t="shared" si="74"/>
        <v>5936.7000000000007</v>
      </c>
      <c r="F700" s="120">
        <v>0</v>
      </c>
      <c r="G700" s="102">
        <v>0</v>
      </c>
      <c r="H700" s="102">
        <f>1891.4+2567.8+1260.1+69.5+147.9</f>
        <v>5936.7000000000007</v>
      </c>
      <c r="I700" s="102">
        <v>0</v>
      </c>
      <c r="J700" s="102">
        <v>0</v>
      </c>
      <c r="K700" s="103"/>
      <c r="L700" s="149"/>
      <c r="M700" s="57"/>
    </row>
    <row r="701" spans="1:13" ht="23.1" customHeight="1" x14ac:dyDescent="0.25">
      <c r="A701" s="45"/>
      <c r="B701" s="227"/>
      <c r="C701" s="99"/>
      <c r="D701" s="104">
        <v>2024</v>
      </c>
      <c r="E701" s="102">
        <f t="shared" si="74"/>
        <v>3756.8</v>
      </c>
      <c r="F701" s="120">
        <v>0</v>
      </c>
      <c r="G701" s="102">
        <v>0</v>
      </c>
      <c r="H701" s="121">
        <f>712.7+179.1+1295.6-30+1913.4-314</f>
        <v>3756.8</v>
      </c>
      <c r="I701" s="102">
        <v>0</v>
      </c>
      <c r="J701" s="102">
        <v>0</v>
      </c>
      <c r="K701" s="103"/>
      <c r="L701" s="149"/>
      <c r="M701" s="57"/>
    </row>
    <row r="702" spans="1:13" ht="23.1" customHeight="1" x14ac:dyDescent="0.25">
      <c r="A702" s="45"/>
      <c r="B702" s="227"/>
      <c r="C702" s="99"/>
      <c r="D702" s="104">
        <v>2025</v>
      </c>
      <c r="E702" s="102">
        <f t="shared" si="74"/>
        <v>305.7</v>
      </c>
      <c r="F702" s="120">
        <v>0</v>
      </c>
      <c r="G702" s="102">
        <v>0</v>
      </c>
      <c r="H702" s="121">
        <f>348.5-343.6+300.8</f>
        <v>305.7</v>
      </c>
      <c r="I702" s="102">
        <v>0</v>
      </c>
      <c r="J702" s="102">
        <v>0</v>
      </c>
      <c r="K702" s="103"/>
      <c r="L702" s="149"/>
      <c r="M702" s="57"/>
    </row>
    <row r="703" spans="1:13" ht="23.1" customHeight="1" x14ac:dyDescent="0.25">
      <c r="A703" s="46"/>
      <c r="B703" s="228"/>
      <c r="C703" s="107"/>
      <c r="D703" s="104">
        <v>2026</v>
      </c>
      <c r="E703" s="102">
        <f t="shared" ref="E703" si="77">F703+G703+H703+J703</f>
        <v>0</v>
      </c>
      <c r="F703" s="120">
        <v>0</v>
      </c>
      <c r="G703" s="102">
        <v>0</v>
      </c>
      <c r="H703" s="121">
        <v>0</v>
      </c>
      <c r="I703" s="102">
        <v>0</v>
      </c>
      <c r="J703" s="102">
        <v>0</v>
      </c>
      <c r="K703" s="109"/>
      <c r="L703" s="156"/>
      <c r="M703" s="57"/>
    </row>
    <row r="704" spans="1:13" ht="23.1" customHeight="1" thickBot="1" x14ac:dyDescent="0.3">
      <c r="A704" s="47"/>
      <c r="B704" s="229"/>
      <c r="C704" s="111"/>
      <c r="D704" s="159">
        <v>2027</v>
      </c>
      <c r="E704" s="113">
        <f t="shared" si="74"/>
        <v>0</v>
      </c>
      <c r="F704" s="123">
        <v>0</v>
      </c>
      <c r="G704" s="113">
        <v>0</v>
      </c>
      <c r="H704" s="124">
        <v>0</v>
      </c>
      <c r="I704" s="113">
        <v>0</v>
      </c>
      <c r="J704" s="113">
        <v>0</v>
      </c>
      <c r="K704" s="114"/>
      <c r="L704" s="160"/>
      <c r="M704" s="57"/>
    </row>
    <row r="705" spans="1:13" ht="21.95" customHeight="1" x14ac:dyDescent="0.25">
      <c r="A705" s="48" t="s">
        <v>161</v>
      </c>
      <c r="B705" s="226" t="s">
        <v>162</v>
      </c>
      <c r="C705" s="141" t="e">
        <f>#REF!+#REF!+#REF!+#REF!+#REF!+#REF!+#REF!+#REF!</f>
        <v>#REF!</v>
      </c>
      <c r="D705" s="143">
        <v>2018</v>
      </c>
      <c r="E705" s="144">
        <f t="shared" si="74"/>
        <v>0</v>
      </c>
      <c r="F705" s="144">
        <v>0</v>
      </c>
      <c r="G705" s="144">
        <v>0</v>
      </c>
      <c r="H705" s="144">
        <v>0</v>
      </c>
      <c r="I705" s="144">
        <v>0</v>
      </c>
      <c r="J705" s="144">
        <v>0</v>
      </c>
      <c r="K705" s="145" t="s">
        <v>163</v>
      </c>
      <c r="L705" s="146" t="s">
        <v>31</v>
      </c>
      <c r="M705" s="57"/>
    </row>
    <row r="706" spans="1:13" ht="21.95" customHeight="1" x14ac:dyDescent="0.25">
      <c r="A706" s="45"/>
      <c r="B706" s="227"/>
      <c r="C706" s="99"/>
      <c r="D706" s="101">
        <v>2019</v>
      </c>
      <c r="E706" s="102">
        <f>F706+G706+H706+J706</f>
        <v>0</v>
      </c>
      <c r="F706" s="102">
        <v>0</v>
      </c>
      <c r="G706" s="102">
        <v>0</v>
      </c>
      <c r="H706" s="102">
        <v>0</v>
      </c>
      <c r="I706" s="102">
        <v>0</v>
      </c>
      <c r="J706" s="102">
        <v>0</v>
      </c>
      <c r="K706" s="103"/>
      <c r="L706" s="149"/>
      <c r="M706" s="57"/>
    </row>
    <row r="707" spans="1:13" ht="21.95" customHeight="1" x14ac:dyDescent="0.25">
      <c r="A707" s="45"/>
      <c r="B707" s="227"/>
      <c r="C707" s="99"/>
      <c r="D707" s="104">
        <v>2020</v>
      </c>
      <c r="E707" s="102">
        <f t="shared" si="74"/>
        <v>0</v>
      </c>
      <c r="F707" s="120">
        <v>0</v>
      </c>
      <c r="G707" s="102">
        <v>0</v>
      </c>
      <c r="H707" s="102">
        <v>0</v>
      </c>
      <c r="I707" s="102">
        <v>0</v>
      </c>
      <c r="J707" s="102">
        <v>0</v>
      </c>
      <c r="K707" s="103"/>
      <c r="L707" s="149"/>
      <c r="M707" s="57"/>
    </row>
    <row r="708" spans="1:13" ht="21.95" customHeight="1" x14ac:dyDescent="0.25">
      <c r="A708" s="45"/>
      <c r="B708" s="227"/>
      <c r="C708" s="99"/>
      <c r="D708" s="104">
        <v>2021</v>
      </c>
      <c r="E708" s="102">
        <f t="shared" si="74"/>
        <v>4189.5</v>
      </c>
      <c r="F708" s="120">
        <v>0</v>
      </c>
      <c r="G708" s="102">
        <v>0</v>
      </c>
      <c r="H708" s="102">
        <v>4189.5</v>
      </c>
      <c r="I708" s="102">
        <v>0</v>
      </c>
      <c r="J708" s="102">
        <v>0</v>
      </c>
      <c r="K708" s="103"/>
      <c r="L708" s="149"/>
      <c r="M708" s="57"/>
    </row>
    <row r="709" spans="1:13" ht="21.95" customHeight="1" x14ac:dyDescent="0.25">
      <c r="A709" s="45"/>
      <c r="B709" s="227"/>
      <c r="C709" s="99"/>
      <c r="D709" s="104">
        <v>2022</v>
      </c>
      <c r="E709" s="102">
        <f t="shared" si="74"/>
        <v>0</v>
      </c>
      <c r="F709" s="120">
        <v>0</v>
      </c>
      <c r="G709" s="102">
        <v>0</v>
      </c>
      <c r="H709" s="102">
        <v>0</v>
      </c>
      <c r="I709" s="102">
        <v>0</v>
      </c>
      <c r="J709" s="102">
        <v>0</v>
      </c>
      <c r="K709" s="103"/>
      <c r="L709" s="149"/>
      <c r="M709" s="57"/>
    </row>
    <row r="710" spans="1:13" ht="21.95" customHeight="1" x14ac:dyDescent="0.25">
      <c r="A710" s="45"/>
      <c r="B710" s="227"/>
      <c r="C710" s="99"/>
      <c r="D710" s="104">
        <v>2023</v>
      </c>
      <c r="E710" s="102">
        <f t="shared" si="74"/>
        <v>0</v>
      </c>
      <c r="F710" s="120">
        <v>0</v>
      </c>
      <c r="G710" s="102">
        <v>0</v>
      </c>
      <c r="H710" s="102">
        <v>0</v>
      </c>
      <c r="I710" s="102">
        <v>0</v>
      </c>
      <c r="J710" s="102">
        <v>0</v>
      </c>
      <c r="K710" s="103"/>
      <c r="L710" s="149"/>
      <c r="M710" s="57"/>
    </row>
    <row r="711" spans="1:13" ht="21.95" customHeight="1" x14ac:dyDescent="0.25">
      <c r="A711" s="45"/>
      <c r="B711" s="227"/>
      <c r="C711" s="99"/>
      <c r="D711" s="104">
        <v>2024</v>
      </c>
      <c r="E711" s="102">
        <f t="shared" si="74"/>
        <v>0</v>
      </c>
      <c r="F711" s="120">
        <v>0</v>
      </c>
      <c r="G711" s="102">
        <v>0</v>
      </c>
      <c r="H711" s="102">
        <v>0</v>
      </c>
      <c r="I711" s="102">
        <v>0</v>
      </c>
      <c r="J711" s="102">
        <v>0</v>
      </c>
      <c r="K711" s="103"/>
      <c r="L711" s="149"/>
      <c r="M711" s="57"/>
    </row>
    <row r="712" spans="1:13" ht="21.95" customHeight="1" x14ac:dyDescent="0.25">
      <c r="A712" s="45"/>
      <c r="B712" s="227"/>
      <c r="C712" s="99"/>
      <c r="D712" s="104">
        <v>2025</v>
      </c>
      <c r="E712" s="102">
        <f t="shared" si="74"/>
        <v>0</v>
      </c>
      <c r="F712" s="120">
        <v>0</v>
      </c>
      <c r="G712" s="102">
        <v>0</v>
      </c>
      <c r="H712" s="102">
        <v>0</v>
      </c>
      <c r="I712" s="102">
        <v>0</v>
      </c>
      <c r="J712" s="102">
        <v>0</v>
      </c>
      <c r="K712" s="103"/>
      <c r="L712" s="149"/>
      <c r="M712" s="57"/>
    </row>
    <row r="713" spans="1:13" ht="21.95" customHeight="1" x14ac:dyDescent="0.25">
      <c r="A713" s="46"/>
      <c r="B713" s="228"/>
      <c r="C713" s="107"/>
      <c r="D713" s="104">
        <v>2026</v>
      </c>
      <c r="E713" s="102">
        <f t="shared" ref="E713" si="78">F713+G713+H713+J713</f>
        <v>0</v>
      </c>
      <c r="F713" s="120">
        <v>0</v>
      </c>
      <c r="G713" s="102">
        <v>0</v>
      </c>
      <c r="H713" s="102">
        <v>0</v>
      </c>
      <c r="I713" s="102">
        <v>0</v>
      </c>
      <c r="J713" s="102">
        <v>0</v>
      </c>
      <c r="K713" s="109"/>
      <c r="L713" s="156"/>
      <c r="M713" s="57"/>
    </row>
    <row r="714" spans="1:13" ht="21.95" customHeight="1" thickBot="1" x14ac:dyDescent="0.3">
      <c r="A714" s="47"/>
      <c r="B714" s="229"/>
      <c r="C714" s="111"/>
      <c r="D714" s="159">
        <v>2027</v>
      </c>
      <c r="E714" s="113">
        <f t="shared" si="74"/>
        <v>0</v>
      </c>
      <c r="F714" s="123">
        <v>0</v>
      </c>
      <c r="G714" s="113">
        <v>0</v>
      </c>
      <c r="H714" s="113">
        <v>0</v>
      </c>
      <c r="I714" s="113">
        <v>0</v>
      </c>
      <c r="J714" s="113">
        <v>0</v>
      </c>
      <c r="K714" s="114"/>
      <c r="L714" s="160"/>
      <c r="M714" s="57"/>
    </row>
    <row r="715" spans="1:13" ht="24.95" customHeight="1" x14ac:dyDescent="0.25">
      <c r="A715" s="48" t="s">
        <v>164</v>
      </c>
      <c r="B715" s="250" t="s">
        <v>189</v>
      </c>
      <c r="C715" s="141" t="e">
        <f>#REF!+#REF!+#REF!+#REF!+#REF!+#REF!+#REF!+#REF!</f>
        <v>#REF!</v>
      </c>
      <c r="D715" s="143">
        <v>2018</v>
      </c>
      <c r="E715" s="144">
        <f t="shared" si="74"/>
        <v>0</v>
      </c>
      <c r="F715" s="144">
        <v>0</v>
      </c>
      <c r="G715" s="144">
        <v>0</v>
      </c>
      <c r="H715" s="144">
        <v>0</v>
      </c>
      <c r="I715" s="144">
        <v>0</v>
      </c>
      <c r="J715" s="144">
        <v>0</v>
      </c>
      <c r="K715" s="145" t="s">
        <v>179</v>
      </c>
      <c r="L715" s="146" t="s">
        <v>31</v>
      </c>
      <c r="M715" s="57"/>
    </row>
    <row r="716" spans="1:13" ht="24.95" customHeight="1" x14ac:dyDescent="0.25">
      <c r="A716" s="45"/>
      <c r="B716" s="251"/>
      <c r="C716" s="99"/>
      <c r="D716" s="101">
        <v>2019</v>
      </c>
      <c r="E716" s="102">
        <f t="shared" si="74"/>
        <v>0</v>
      </c>
      <c r="F716" s="102">
        <v>0</v>
      </c>
      <c r="G716" s="102">
        <v>0</v>
      </c>
      <c r="H716" s="102">
        <v>0</v>
      </c>
      <c r="I716" s="102">
        <v>0</v>
      </c>
      <c r="J716" s="102">
        <v>0</v>
      </c>
      <c r="K716" s="103"/>
      <c r="L716" s="149"/>
      <c r="M716" s="57"/>
    </row>
    <row r="717" spans="1:13" ht="24.95" customHeight="1" x14ac:dyDescent="0.25">
      <c r="A717" s="45"/>
      <c r="B717" s="251"/>
      <c r="C717" s="99"/>
      <c r="D717" s="104">
        <v>2020</v>
      </c>
      <c r="E717" s="102">
        <f t="shared" si="74"/>
        <v>0</v>
      </c>
      <c r="F717" s="120">
        <v>0</v>
      </c>
      <c r="G717" s="102">
        <v>0</v>
      </c>
      <c r="H717" s="102">
        <v>0</v>
      </c>
      <c r="I717" s="102">
        <v>0</v>
      </c>
      <c r="J717" s="102">
        <v>0</v>
      </c>
      <c r="K717" s="103"/>
      <c r="L717" s="149"/>
      <c r="M717" s="57"/>
    </row>
    <row r="718" spans="1:13" ht="24.95" customHeight="1" x14ac:dyDescent="0.25">
      <c r="A718" s="45"/>
      <c r="B718" s="251"/>
      <c r="C718" s="99"/>
      <c r="D718" s="104">
        <v>2021</v>
      </c>
      <c r="E718" s="102">
        <f t="shared" si="74"/>
        <v>0</v>
      </c>
      <c r="F718" s="120">
        <v>0</v>
      </c>
      <c r="G718" s="102">
        <v>0</v>
      </c>
      <c r="H718" s="102">
        <v>0</v>
      </c>
      <c r="I718" s="102">
        <v>0</v>
      </c>
      <c r="J718" s="102">
        <v>0</v>
      </c>
      <c r="K718" s="103"/>
      <c r="L718" s="149"/>
      <c r="M718" s="57"/>
    </row>
    <row r="719" spans="1:13" ht="24.95" customHeight="1" x14ac:dyDescent="0.25">
      <c r="A719" s="45"/>
      <c r="B719" s="251"/>
      <c r="C719" s="99"/>
      <c r="D719" s="104">
        <v>2022</v>
      </c>
      <c r="E719" s="102">
        <f t="shared" si="74"/>
        <v>2671.6</v>
      </c>
      <c r="F719" s="120">
        <v>0</v>
      </c>
      <c r="G719" s="102">
        <v>0</v>
      </c>
      <c r="H719" s="102">
        <f>3127.6-350-36-70</f>
        <v>2671.6</v>
      </c>
      <c r="I719" s="102">
        <v>0</v>
      </c>
      <c r="J719" s="102">
        <v>0</v>
      </c>
      <c r="K719" s="103"/>
      <c r="L719" s="149"/>
      <c r="M719" s="57"/>
    </row>
    <row r="720" spans="1:13" ht="24.95" customHeight="1" x14ac:dyDescent="0.25">
      <c r="A720" s="45"/>
      <c r="B720" s="252"/>
      <c r="C720" s="99"/>
      <c r="D720" s="104">
        <v>2023</v>
      </c>
      <c r="E720" s="102">
        <f t="shared" si="74"/>
        <v>3014.1000000000004</v>
      </c>
      <c r="F720" s="120">
        <v>0</v>
      </c>
      <c r="G720" s="102">
        <v>0</v>
      </c>
      <c r="H720" s="102">
        <f>2000+75.8+693.3+245</f>
        <v>3014.1000000000004</v>
      </c>
      <c r="I720" s="102">
        <v>0</v>
      </c>
      <c r="J720" s="102">
        <v>0</v>
      </c>
      <c r="K720" s="103"/>
      <c r="L720" s="149"/>
      <c r="M720" s="57"/>
    </row>
    <row r="721" spans="1:13" ht="24.95" customHeight="1" x14ac:dyDescent="0.25">
      <c r="A721" s="45"/>
      <c r="B721" s="253" t="s">
        <v>328</v>
      </c>
      <c r="C721" s="99"/>
      <c r="D721" s="104">
        <v>2024</v>
      </c>
      <c r="E721" s="102">
        <f t="shared" si="74"/>
        <v>3544.4</v>
      </c>
      <c r="F721" s="120">
        <v>0</v>
      </c>
      <c r="G721" s="102">
        <v>0</v>
      </c>
      <c r="H721" s="121">
        <f>2957.7+23.3+510+53.4</f>
        <v>3544.4</v>
      </c>
      <c r="I721" s="102">
        <v>0</v>
      </c>
      <c r="J721" s="102">
        <v>0</v>
      </c>
      <c r="K721" s="103"/>
      <c r="L721" s="149"/>
      <c r="M721" s="57"/>
    </row>
    <row r="722" spans="1:13" ht="24.95" customHeight="1" x14ac:dyDescent="0.25">
      <c r="A722" s="45"/>
      <c r="B722" s="251"/>
      <c r="C722" s="99"/>
      <c r="D722" s="104">
        <v>2025</v>
      </c>
      <c r="E722" s="102">
        <f t="shared" si="74"/>
        <v>4739.6000000000004</v>
      </c>
      <c r="F722" s="120">
        <v>0</v>
      </c>
      <c r="G722" s="102">
        <v>0</v>
      </c>
      <c r="H722" s="121">
        <f>4739.6</f>
        <v>4739.6000000000004</v>
      </c>
      <c r="I722" s="102">
        <v>0</v>
      </c>
      <c r="J722" s="102">
        <v>0</v>
      </c>
      <c r="K722" s="103"/>
      <c r="L722" s="149"/>
      <c r="M722" s="57"/>
    </row>
    <row r="723" spans="1:13" ht="24.95" customHeight="1" x14ac:dyDescent="0.25">
      <c r="A723" s="46"/>
      <c r="B723" s="251"/>
      <c r="C723" s="107"/>
      <c r="D723" s="104">
        <v>2026</v>
      </c>
      <c r="E723" s="102">
        <f t="shared" ref="E723" si="79">F723+G723+H723+J723</f>
        <v>5241.3</v>
      </c>
      <c r="F723" s="120">
        <v>0</v>
      </c>
      <c r="G723" s="102">
        <v>0</v>
      </c>
      <c r="H723" s="121">
        <v>5241.3</v>
      </c>
      <c r="I723" s="102">
        <v>0</v>
      </c>
      <c r="J723" s="102">
        <v>0</v>
      </c>
      <c r="K723" s="109"/>
      <c r="L723" s="156"/>
      <c r="M723" s="57"/>
    </row>
    <row r="724" spans="1:13" ht="24.95" customHeight="1" thickBot="1" x14ac:dyDescent="0.3">
      <c r="A724" s="47"/>
      <c r="B724" s="254"/>
      <c r="C724" s="111"/>
      <c r="D724" s="159">
        <v>2027</v>
      </c>
      <c r="E724" s="113">
        <f t="shared" si="74"/>
        <v>5794</v>
      </c>
      <c r="F724" s="123">
        <v>0</v>
      </c>
      <c r="G724" s="113">
        <v>0</v>
      </c>
      <c r="H724" s="124">
        <v>5794</v>
      </c>
      <c r="I724" s="113">
        <v>0</v>
      </c>
      <c r="J724" s="113">
        <v>0</v>
      </c>
      <c r="K724" s="114"/>
      <c r="L724" s="160"/>
      <c r="M724" s="57"/>
    </row>
    <row r="725" spans="1:13" ht="21.95" customHeight="1" x14ac:dyDescent="0.25">
      <c r="A725" s="48" t="s">
        <v>165</v>
      </c>
      <c r="B725" s="226" t="s">
        <v>166</v>
      </c>
      <c r="C725" s="141" t="e">
        <f>#REF!+#REF!+#REF!+#REF!+#REF!+#REF!+#REF!+#REF!</f>
        <v>#REF!</v>
      </c>
      <c r="D725" s="143">
        <v>2018</v>
      </c>
      <c r="E725" s="144">
        <f t="shared" si="74"/>
        <v>0</v>
      </c>
      <c r="F725" s="144">
        <v>0</v>
      </c>
      <c r="G725" s="144">
        <v>0</v>
      </c>
      <c r="H725" s="144">
        <v>0</v>
      </c>
      <c r="I725" s="144">
        <v>0</v>
      </c>
      <c r="J725" s="144">
        <v>0</v>
      </c>
      <c r="K725" s="145" t="s">
        <v>185</v>
      </c>
      <c r="L725" s="146" t="s">
        <v>31</v>
      </c>
      <c r="M725" s="57"/>
    </row>
    <row r="726" spans="1:13" ht="21.95" customHeight="1" x14ac:dyDescent="0.25">
      <c r="A726" s="45"/>
      <c r="B726" s="227"/>
      <c r="C726" s="99"/>
      <c r="D726" s="101">
        <v>2019</v>
      </c>
      <c r="E726" s="102">
        <f t="shared" si="74"/>
        <v>0</v>
      </c>
      <c r="F726" s="102">
        <v>0</v>
      </c>
      <c r="G726" s="102">
        <v>0</v>
      </c>
      <c r="H726" s="102">
        <v>0</v>
      </c>
      <c r="I726" s="102">
        <v>0</v>
      </c>
      <c r="J726" s="102">
        <v>0</v>
      </c>
      <c r="K726" s="103"/>
      <c r="L726" s="149"/>
      <c r="M726" s="57"/>
    </row>
    <row r="727" spans="1:13" ht="21.95" customHeight="1" x14ac:dyDescent="0.25">
      <c r="A727" s="45"/>
      <c r="B727" s="227"/>
      <c r="C727" s="99"/>
      <c r="D727" s="104">
        <v>2020</v>
      </c>
      <c r="E727" s="102">
        <f t="shared" si="74"/>
        <v>0</v>
      </c>
      <c r="F727" s="120">
        <v>0</v>
      </c>
      <c r="G727" s="102">
        <v>0</v>
      </c>
      <c r="H727" s="102">
        <v>0</v>
      </c>
      <c r="I727" s="102">
        <v>0</v>
      </c>
      <c r="J727" s="102">
        <v>0</v>
      </c>
      <c r="K727" s="103"/>
      <c r="L727" s="149"/>
      <c r="M727" s="57"/>
    </row>
    <row r="728" spans="1:13" ht="21.95" customHeight="1" x14ac:dyDescent="0.25">
      <c r="A728" s="45"/>
      <c r="B728" s="227"/>
      <c r="C728" s="99"/>
      <c r="D728" s="104">
        <v>2021</v>
      </c>
      <c r="E728" s="102">
        <f t="shared" si="74"/>
        <v>0</v>
      </c>
      <c r="F728" s="120">
        <v>0</v>
      </c>
      <c r="G728" s="102">
        <v>0</v>
      </c>
      <c r="H728" s="102">
        <v>0</v>
      </c>
      <c r="I728" s="102">
        <v>0</v>
      </c>
      <c r="J728" s="102">
        <v>0</v>
      </c>
      <c r="K728" s="103"/>
      <c r="L728" s="149"/>
      <c r="M728" s="57"/>
    </row>
    <row r="729" spans="1:13" ht="21.95" customHeight="1" x14ac:dyDescent="0.25">
      <c r="A729" s="45"/>
      <c r="B729" s="227"/>
      <c r="C729" s="99"/>
      <c r="D729" s="104">
        <v>2022</v>
      </c>
      <c r="E729" s="102">
        <f t="shared" si="74"/>
        <v>75.799999999999955</v>
      </c>
      <c r="F729" s="120">
        <v>0</v>
      </c>
      <c r="G729" s="102">
        <v>0</v>
      </c>
      <c r="H729" s="102">
        <f>1238.8-1163</f>
        <v>75.799999999999955</v>
      </c>
      <c r="I729" s="102">
        <v>0</v>
      </c>
      <c r="J729" s="102">
        <v>0</v>
      </c>
      <c r="K729" s="103"/>
      <c r="L729" s="149"/>
      <c r="M729" s="57"/>
    </row>
    <row r="730" spans="1:13" ht="21.95" customHeight="1" x14ac:dyDescent="0.25">
      <c r="A730" s="45"/>
      <c r="B730" s="227"/>
      <c r="C730" s="99"/>
      <c r="D730" s="104">
        <v>2023</v>
      </c>
      <c r="E730" s="102">
        <f>F730+G730+H730+J730</f>
        <v>86.5</v>
      </c>
      <c r="F730" s="120">
        <v>0</v>
      </c>
      <c r="G730" s="102">
        <v>0</v>
      </c>
      <c r="H730" s="102">
        <f>49.3+10+5+22.2</f>
        <v>86.5</v>
      </c>
      <c r="I730" s="102">
        <v>0</v>
      </c>
      <c r="J730" s="102">
        <v>0</v>
      </c>
      <c r="K730" s="103"/>
      <c r="L730" s="149"/>
      <c r="M730" s="57"/>
    </row>
    <row r="731" spans="1:13" ht="21.95" customHeight="1" x14ac:dyDescent="0.25">
      <c r="A731" s="45"/>
      <c r="B731" s="227"/>
      <c r="C731" s="99"/>
      <c r="D731" s="104">
        <v>2024</v>
      </c>
      <c r="E731" s="102">
        <f t="shared" si="74"/>
        <v>151.19999999999999</v>
      </c>
      <c r="F731" s="120">
        <v>0</v>
      </c>
      <c r="G731" s="102">
        <v>0</v>
      </c>
      <c r="H731" s="121">
        <f>58.7+55.5+10+27</f>
        <v>151.19999999999999</v>
      </c>
      <c r="I731" s="102">
        <v>0</v>
      </c>
      <c r="J731" s="102">
        <v>0</v>
      </c>
      <c r="K731" s="103"/>
      <c r="L731" s="149"/>
      <c r="M731" s="57"/>
    </row>
    <row r="732" spans="1:13" ht="21.95" customHeight="1" x14ac:dyDescent="0.25">
      <c r="A732" s="45"/>
      <c r="B732" s="227"/>
      <c r="C732" s="99"/>
      <c r="D732" s="104">
        <v>2025</v>
      </c>
      <c r="E732" s="102">
        <f t="shared" si="74"/>
        <v>147.1</v>
      </c>
      <c r="F732" s="120">
        <v>0</v>
      </c>
      <c r="G732" s="102">
        <v>0</v>
      </c>
      <c r="H732" s="121">
        <v>147.1</v>
      </c>
      <c r="I732" s="102">
        <v>0</v>
      </c>
      <c r="J732" s="102">
        <v>0</v>
      </c>
      <c r="K732" s="103"/>
      <c r="L732" s="149"/>
      <c r="M732" s="57"/>
    </row>
    <row r="733" spans="1:13" ht="21.95" customHeight="1" x14ac:dyDescent="0.25">
      <c r="A733" s="46"/>
      <c r="B733" s="228"/>
      <c r="C733" s="107"/>
      <c r="D733" s="104">
        <v>2026</v>
      </c>
      <c r="E733" s="102">
        <f t="shared" ref="E733" si="80">F733+G733+H733+J733</f>
        <v>178</v>
      </c>
      <c r="F733" s="120">
        <v>0</v>
      </c>
      <c r="G733" s="102">
        <v>0</v>
      </c>
      <c r="H733" s="121">
        <v>178</v>
      </c>
      <c r="I733" s="102">
        <v>0</v>
      </c>
      <c r="J733" s="102">
        <v>0</v>
      </c>
      <c r="K733" s="109"/>
      <c r="L733" s="156"/>
      <c r="M733" s="57"/>
    </row>
    <row r="734" spans="1:13" ht="21.95" customHeight="1" thickBot="1" x14ac:dyDescent="0.3">
      <c r="A734" s="47"/>
      <c r="B734" s="229"/>
      <c r="C734" s="111"/>
      <c r="D734" s="159">
        <v>2027</v>
      </c>
      <c r="E734" s="113">
        <f t="shared" si="74"/>
        <v>215.3</v>
      </c>
      <c r="F734" s="123">
        <v>0</v>
      </c>
      <c r="G734" s="113">
        <v>0</v>
      </c>
      <c r="H734" s="124">
        <v>215.3</v>
      </c>
      <c r="I734" s="113">
        <v>0</v>
      </c>
      <c r="J734" s="113">
        <v>0</v>
      </c>
      <c r="K734" s="114"/>
      <c r="L734" s="160"/>
      <c r="M734" s="57"/>
    </row>
    <row r="735" spans="1:13" ht="21.95" customHeight="1" x14ac:dyDescent="0.25">
      <c r="A735" s="48" t="s">
        <v>204</v>
      </c>
      <c r="B735" s="226" t="s">
        <v>317</v>
      </c>
      <c r="C735" s="141" t="e">
        <f>#REF!+#REF!+#REF!+#REF!+#REF!+#REF!+#REF!+#REF!</f>
        <v>#REF!</v>
      </c>
      <c r="D735" s="143">
        <v>2018</v>
      </c>
      <c r="E735" s="144">
        <f t="shared" si="74"/>
        <v>0</v>
      </c>
      <c r="F735" s="144">
        <v>0</v>
      </c>
      <c r="G735" s="144">
        <v>0</v>
      </c>
      <c r="H735" s="144">
        <v>0</v>
      </c>
      <c r="I735" s="144">
        <v>0</v>
      </c>
      <c r="J735" s="144">
        <v>0</v>
      </c>
      <c r="K735" s="145" t="s">
        <v>339</v>
      </c>
      <c r="L735" s="146" t="s">
        <v>31</v>
      </c>
      <c r="M735" s="57"/>
    </row>
    <row r="736" spans="1:13" ht="21.95" customHeight="1" x14ac:dyDescent="0.25">
      <c r="A736" s="45"/>
      <c r="B736" s="227"/>
      <c r="C736" s="99"/>
      <c r="D736" s="101">
        <v>2019</v>
      </c>
      <c r="E736" s="102">
        <f t="shared" si="74"/>
        <v>0</v>
      </c>
      <c r="F736" s="102">
        <v>0</v>
      </c>
      <c r="G736" s="102">
        <v>0</v>
      </c>
      <c r="H736" s="102">
        <v>0</v>
      </c>
      <c r="I736" s="102">
        <v>0</v>
      </c>
      <c r="J736" s="102">
        <v>0</v>
      </c>
      <c r="K736" s="103"/>
      <c r="L736" s="149"/>
      <c r="M736" s="57"/>
    </row>
    <row r="737" spans="1:13" ht="21.95" customHeight="1" x14ac:dyDescent="0.25">
      <c r="A737" s="45"/>
      <c r="B737" s="227"/>
      <c r="C737" s="99"/>
      <c r="D737" s="104">
        <v>2020</v>
      </c>
      <c r="E737" s="102">
        <f t="shared" si="74"/>
        <v>0</v>
      </c>
      <c r="F737" s="120">
        <v>0</v>
      </c>
      <c r="G737" s="102">
        <v>0</v>
      </c>
      <c r="H737" s="102">
        <v>0</v>
      </c>
      <c r="I737" s="102">
        <v>0</v>
      </c>
      <c r="J737" s="102">
        <v>0</v>
      </c>
      <c r="K737" s="103"/>
      <c r="L737" s="149"/>
      <c r="M737" s="57"/>
    </row>
    <row r="738" spans="1:13" ht="21.95" customHeight="1" x14ac:dyDescent="0.25">
      <c r="A738" s="45"/>
      <c r="B738" s="227"/>
      <c r="C738" s="99"/>
      <c r="D738" s="104">
        <v>2021</v>
      </c>
      <c r="E738" s="102">
        <f t="shared" si="74"/>
        <v>0</v>
      </c>
      <c r="F738" s="120">
        <v>0</v>
      </c>
      <c r="G738" s="102">
        <v>0</v>
      </c>
      <c r="H738" s="102">
        <v>0</v>
      </c>
      <c r="I738" s="102">
        <v>0</v>
      </c>
      <c r="J738" s="102">
        <v>0</v>
      </c>
      <c r="K738" s="103"/>
      <c r="L738" s="149"/>
      <c r="M738" s="57"/>
    </row>
    <row r="739" spans="1:13" ht="21.95" customHeight="1" x14ac:dyDescent="0.25">
      <c r="A739" s="45"/>
      <c r="B739" s="227"/>
      <c r="C739" s="99"/>
      <c r="D739" s="104">
        <v>2022</v>
      </c>
      <c r="E739" s="102">
        <f t="shared" si="74"/>
        <v>1081.7</v>
      </c>
      <c r="F739" s="120">
        <v>0</v>
      </c>
      <c r="G739" s="102">
        <f>1473.2+308.5-700</f>
        <v>1081.7</v>
      </c>
      <c r="H739" s="102">
        <v>0</v>
      </c>
      <c r="I739" s="102">
        <v>0</v>
      </c>
      <c r="J739" s="102">
        <v>0</v>
      </c>
      <c r="K739" s="103"/>
      <c r="L739" s="149"/>
      <c r="M739" s="57"/>
    </row>
    <row r="740" spans="1:13" ht="21.95" customHeight="1" x14ac:dyDescent="0.25">
      <c r="A740" s="45"/>
      <c r="B740" s="227"/>
      <c r="C740" s="99"/>
      <c r="D740" s="104">
        <v>2023</v>
      </c>
      <c r="E740" s="102">
        <f t="shared" si="74"/>
        <v>1971.3999999999999</v>
      </c>
      <c r="F740" s="120">
        <v>0</v>
      </c>
      <c r="G740" s="102">
        <f>1594.1+377.3</f>
        <v>1971.3999999999999</v>
      </c>
      <c r="H740" s="102">
        <v>0</v>
      </c>
      <c r="I740" s="102">
        <v>0</v>
      </c>
      <c r="J740" s="102">
        <v>0</v>
      </c>
      <c r="K740" s="103"/>
      <c r="L740" s="149"/>
      <c r="M740" s="57"/>
    </row>
    <row r="741" spans="1:13" ht="21.95" customHeight="1" x14ac:dyDescent="0.25">
      <c r="A741" s="45"/>
      <c r="B741" s="227"/>
      <c r="C741" s="99"/>
      <c r="D741" s="104">
        <v>2024</v>
      </c>
      <c r="E741" s="102">
        <f t="shared" si="74"/>
        <v>2320.6999999999998</v>
      </c>
      <c r="F741" s="120">
        <v>0</v>
      </c>
      <c r="G741" s="102">
        <f>1801.6+519.1</f>
        <v>2320.6999999999998</v>
      </c>
      <c r="H741" s="102">
        <v>0</v>
      </c>
      <c r="I741" s="102">
        <v>0</v>
      </c>
      <c r="J741" s="102">
        <v>0</v>
      </c>
      <c r="K741" s="103"/>
      <c r="L741" s="149"/>
      <c r="M741" s="57"/>
    </row>
    <row r="742" spans="1:13" ht="21.95" customHeight="1" x14ac:dyDescent="0.25">
      <c r="A742" s="45"/>
      <c r="B742" s="227"/>
      <c r="C742" s="99"/>
      <c r="D742" s="104">
        <v>2025</v>
      </c>
      <c r="E742" s="102">
        <f t="shared" si="74"/>
        <v>4891.1000000000004</v>
      </c>
      <c r="F742" s="120">
        <v>0</v>
      </c>
      <c r="G742" s="102">
        <f>2163+2728.1</f>
        <v>4891.1000000000004</v>
      </c>
      <c r="H742" s="102">
        <v>0</v>
      </c>
      <c r="I742" s="102">
        <v>0</v>
      </c>
      <c r="J742" s="102">
        <v>0</v>
      </c>
      <c r="K742" s="103"/>
      <c r="L742" s="149"/>
      <c r="M742" s="57"/>
    </row>
    <row r="743" spans="1:13" ht="21.95" customHeight="1" x14ac:dyDescent="0.25">
      <c r="A743" s="46"/>
      <c r="B743" s="228"/>
      <c r="C743" s="107"/>
      <c r="D743" s="104">
        <v>2026</v>
      </c>
      <c r="E743" s="102">
        <f t="shared" ref="E743" si="81">F743+G743+H743+J743</f>
        <v>5445.5</v>
      </c>
      <c r="F743" s="120">
        <v>0</v>
      </c>
      <c r="G743" s="102">
        <f>2426.3+3019.2</f>
        <v>5445.5</v>
      </c>
      <c r="H743" s="102">
        <v>0</v>
      </c>
      <c r="I743" s="102">
        <v>0</v>
      </c>
      <c r="J743" s="102">
        <v>0</v>
      </c>
      <c r="K743" s="109"/>
      <c r="L743" s="156"/>
      <c r="M743" s="57"/>
    </row>
    <row r="744" spans="1:13" ht="21.95" customHeight="1" thickBot="1" x14ac:dyDescent="0.3">
      <c r="A744" s="47"/>
      <c r="B744" s="229"/>
      <c r="C744" s="111"/>
      <c r="D744" s="159">
        <v>2027</v>
      </c>
      <c r="E744" s="113">
        <f t="shared" si="74"/>
        <v>3330</v>
      </c>
      <c r="F744" s="120">
        <v>0</v>
      </c>
      <c r="G744" s="113">
        <f>3330</f>
        <v>3330</v>
      </c>
      <c r="H744" s="118">
        <v>0</v>
      </c>
      <c r="I744" s="118">
        <v>0</v>
      </c>
      <c r="J744" s="118">
        <v>0</v>
      </c>
      <c r="K744" s="114"/>
      <c r="L744" s="160"/>
      <c r="M744" s="57"/>
    </row>
    <row r="745" spans="1:13" ht="24.95" customHeight="1" x14ac:dyDescent="0.25">
      <c r="A745" s="48" t="s">
        <v>207</v>
      </c>
      <c r="B745" s="250" t="s">
        <v>167</v>
      </c>
      <c r="C745" s="141" t="e">
        <f>#REF!+#REF!+#REF!+#REF!+#REF!+#REF!+#REF!+#REF!</f>
        <v>#REF!</v>
      </c>
      <c r="D745" s="143">
        <v>2018</v>
      </c>
      <c r="E745" s="144">
        <f t="shared" si="74"/>
        <v>0</v>
      </c>
      <c r="F745" s="144">
        <v>0</v>
      </c>
      <c r="G745" s="144">
        <v>0</v>
      </c>
      <c r="H745" s="144">
        <v>0</v>
      </c>
      <c r="I745" s="144">
        <v>0</v>
      </c>
      <c r="J745" s="144">
        <v>0</v>
      </c>
      <c r="K745" s="145" t="s">
        <v>357</v>
      </c>
      <c r="L745" s="146" t="s">
        <v>31</v>
      </c>
      <c r="M745" s="57"/>
    </row>
    <row r="746" spans="1:13" ht="24.95" customHeight="1" x14ac:dyDescent="0.25">
      <c r="A746" s="45"/>
      <c r="B746" s="251"/>
      <c r="C746" s="99"/>
      <c r="D746" s="101">
        <v>2019</v>
      </c>
      <c r="E746" s="102">
        <f t="shared" si="74"/>
        <v>0</v>
      </c>
      <c r="F746" s="102">
        <v>0</v>
      </c>
      <c r="G746" s="102">
        <v>0</v>
      </c>
      <c r="H746" s="102">
        <v>0</v>
      </c>
      <c r="I746" s="102">
        <v>0</v>
      </c>
      <c r="J746" s="102">
        <v>0</v>
      </c>
      <c r="K746" s="103"/>
      <c r="L746" s="149"/>
      <c r="M746" s="57"/>
    </row>
    <row r="747" spans="1:13" ht="24.95" customHeight="1" x14ac:dyDescent="0.25">
      <c r="A747" s="45"/>
      <c r="B747" s="251"/>
      <c r="C747" s="99"/>
      <c r="D747" s="104">
        <v>2020</v>
      </c>
      <c r="E747" s="102">
        <f t="shared" si="74"/>
        <v>0</v>
      </c>
      <c r="F747" s="120">
        <v>0</v>
      </c>
      <c r="G747" s="102">
        <v>0</v>
      </c>
      <c r="H747" s="102">
        <v>0</v>
      </c>
      <c r="I747" s="102">
        <v>0</v>
      </c>
      <c r="J747" s="102">
        <v>0</v>
      </c>
      <c r="K747" s="103"/>
      <c r="L747" s="149"/>
      <c r="M747" s="57"/>
    </row>
    <row r="748" spans="1:13" ht="24.95" customHeight="1" x14ac:dyDescent="0.25">
      <c r="A748" s="45"/>
      <c r="B748" s="251"/>
      <c r="C748" s="99"/>
      <c r="D748" s="104">
        <v>2021</v>
      </c>
      <c r="E748" s="102">
        <f t="shared" si="74"/>
        <v>0</v>
      </c>
      <c r="F748" s="120">
        <v>0</v>
      </c>
      <c r="G748" s="102">
        <v>0</v>
      </c>
      <c r="H748" s="102">
        <v>0</v>
      </c>
      <c r="I748" s="102">
        <v>0</v>
      </c>
      <c r="J748" s="102">
        <v>0</v>
      </c>
      <c r="K748" s="103"/>
      <c r="L748" s="149"/>
      <c r="M748" s="57"/>
    </row>
    <row r="749" spans="1:13" ht="24.95" customHeight="1" x14ac:dyDescent="0.25">
      <c r="A749" s="45"/>
      <c r="B749" s="251"/>
      <c r="C749" s="99"/>
      <c r="D749" s="104">
        <v>2022</v>
      </c>
      <c r="E749" s="102">
        <f>F749+G749+H749+J749</f>
        <v>12593.2</v>
      </c>
      <c r="F749" s="120">
        <v>0</v>
      </c>
      <c r="G749" s="102">
        <v>7555.9</v>
      </c>
      <c r="H749" s="102">
        <v>5037.3</v>
      </c>
      <c r="I749" s="102">
        <v>5037.3</v>
      </c>
      <c r="J749" s="102">
        <v>0</v>
      </c>
      <c r="K749" s="103"/>
      <c r="L749" s="149"/>
      <c r="M749" s="57"/>
    </row>
    <row r="750" spans="1:13" ht="24.95" customHeight="1" x14ac:dyDescent="0.25">
      <c r="A750" s="45"/>
      <c r="B750" s="252"/>
      <c r="C750" s="99"/>
      <c r="D750" s="104">
        <v>2023</v>
      </c>
      <c r="E750" s="102">
        <f t="shared" si="74"/>
        <v>16906.7</v>
      </c>
      <c r="F750" s="120">
        <v>0</v>
      </c>
      <c r="G750" s="102">
        <v>10144</v>
      </c>
      <c r="H750" s="102">
        <f>I750</f>
        <v>6762.7</v>
      </c>
      <c r="I750" s="102">
        <f>5051.9+1710.8</f>
        <v>6762.7</v>
      </c>
      <c r="J750" s="102">
        <v>0</v>
      </c>
      <c r="K750" s="103"/>
      <c r="L750" s="149"/>
      <c r="M750" s="255"/>
    </row>
    <row r="751" spans="1:13" ht="27.95" customHeight="1" x14ac:dyDescent="0.25">
      <c r="A751" s="45"/>
      <c r="B751" s="253" t="s">
        <v>355</v>
      </c>
      <c r="C751" s="99"/>
      <c r="D751" s="104">
        <v>2024</v>
      </c>
      <c r="E751" s="102">
        <f t="shared" si="74"/>
        <v>21687.5</v>
      </c>
      <c r="F751" s="120">
        <v>0</v>
      </c>
      <c r="G751" s="121">
        <f>8106+4906.5</f>
        <v>13012.5</v>
      </c>
      <c r="H751" s="121">
        <f>I751</f>
        <v>8675</v>
      </c>
      <c r="I751" s="121">
        <f>5404+3271</f>
        <v>8675</v>
      </c>
      <c r="J751" s="102">
        <v>0</v>
      </c>
      <c r="K751" s="103"/>
      <c r="L751" s="149"/>
      <c r="M751" s="57"/>
    </row>
    <row r="752" spans="1:13" ht="27.95" customHeight="1" x14ac:dyDescent="0.25">
      <c r="A752" s="45"/>
      <c r="B752" s="251"/>
      <c r="C752" s="99"/>
      <c r="D752" s="104">
        <v>2025</v>
      </c>
      <c r="E752" s="102">
        <f>F752+G752+H752+J752</f>
        <v>17319.7</v>
      </c>
      <c r="F752" s="120">
        <v>0</v>
      </c>
      <c r="G752" s="121">
        <v>8644.7000000000007</v>
      </c>
      <c r="H752" s="121">
        <v>8675</v>
      </c>
      <c r="I752" s="121">
        <v>5763.2</v>
      </c>
      <c r="J752" s="102">
        <v>0</v>
      </c>
      <c r="K752" s="103"/>
      <c r="L752" s="149"/>
      <c r="M752" s="57" t="s">
        <v>358</v>
      </c>
    </row>
    <row r="753" spans="1:13" ht="27.95" customHeight="1" x14ac:dyDescent="0.25">
      <c r="A753" s="46"/>
      <c r="B753" s="251"/>
      <c r="C753" s="107"/>
      <c r="D753" s="108">
        <v>2026</v>
      </c>
      <c r="E753" s="102">
        <f t="shared" ref="E753" si="82">F753+G753+H753+J753</f>
        <v>18705.599999999999</v>
      </c>
      <c r="F753" s="120">
        <v>0</v>
      </c>
      <c r="G753" s="121">
        <v>9163</v>
      </c>
      <c r="H753" s="121">
        <v>9542.6</v>
      </c>
      <c r="I753" s="121">
        <v>6108.7</v>
      </c>
      <c r="J753" s="102">
        <v>0</v>
      </c>
      <c r="K753" s="109"/>
      <c r="L753" s="156"/>
      <c r="M753" s="57"/>
    </row>
    <row r="754" spans="1:13" ht="27.95" customHeight="1" thickBot="1" x14ac:dyDescent="0.3">
      <c r="A754" s="47"/>
      <c r="B754" s="254"/>
      <c r="C754" s="111"/>
      <c r="D754" s="111">
        <v>2027</v>
      </c>
      <c r="E754" s="113">
        <f t="shared" si="74"/>
        <v>10496.8</v>
      </c>
      <c r="F754" s="123">
        <v>0</v>
      </c>
      <c r="G754" s="124">
        <v>0</v>
      </c>
      <c r="H754" s="124">
        <f>I754</f>
        <v>10496.8</v>
      </c>
      <c r="I754" s="124">
        <v>10496.8</v>
      </c>
      <c r="J754" s="113">
        <v>0</v>
      </c>
      <c r="K754" s="114"/>
      <c r="L754" s="160"/>
      <c r="M754" s="57"/>
    </row>
    <row r="755" spans="1:13" ht="27.95" customHeight="1" x14ac:dyDescent="0.25">
      <c r="A755" s="48" t="s">
        <v>208</v>
      </c>
      <c r="B755" s="208" t="s">
        <v>361</v>
      </c>
      <c r="C755" s="256"/>
      <c r="D755" s="257">
        <v>2018</v>
      </c>
      <c r="E755" s="144">
        <f t="shared" ref="E755:E758" si="83">F755+G755+H755+J755</f>
        <v>0</v>
      </c>
      <c r="F755" s="258">
        <v>0</v>
      </c>
      <c r="G755" s="144">
        <v>0</v>
      </c>
      <c r="H755" s="258">
        <v>0</v>
      </c>
      <c r="I755" s="144">
        <v>0</v>
      </c>
      <c r="J755" s="258">
        <v>0</v>
      </c>
      <c r="K755" s="145" t="s">
        <v>187</v>
      </c>
      <c r="L755" s="146" t="s">
        <v>31</v>
      </c>
      <c r="M755" s="57"/>
    </row>
    <row r="756" spans="1:13" ht="27.95" customHeight="1" x14ac:dyDescent="0.25">
      <c r="A756" s="45"/>
      <c r="B756" s="199"/>
      <c r="C756" s="100"/>
      <c r="D756" s="104">
        <v>2019</v>
      </c>
      <c r="E756" s="102">
        <f t="shared" si="83"/>
        <v>0</v>
      </c>
      <c r="F756" s="120">
        <v>0</v>
      </c>
      <c r="G756" s="102">
        <v>0</v>
      </c>
      <c r="H756" s="120">
        <v>0</v>
      </c>
      <c r="I756" s="102">
        <v>0</v>
      </c>
      <c r="J756" s="120">
        <v>0</v>
      </c>
      <c r="K756" s="103"/>
      <c r="L756" s="149"/>
      <c r="M756" s="57"/>
    </row>
    <row r="757" spans="1:13" ht="27.95" customHeight="1" x14ac:dyDescent="0.25">
      <c r="A757" s="45"/>
      <c r="B757" s="199"/>
      <c r="C757" s="100"/>
      <c r="D757" s="104">
        <v>2020</v>
      </c>
      <c r="E757" s="102">
        <f t="shared" si="83"/>
        <v>0</v>
      </c>
      <c r="F757" s="120">
        <v>0</v>
      </c>
      <c r="G757" s="102">
        <v>0</v>
      </c>
      <c r="H757" s="120">
        <v>0</v>
      </c>
      <c r="I757" s="102">
        <v>0</v>
      </c>
      <c r="J757" s="120">
        <v>0</v>
      </c>
      <c r="K757" s="103"/>
      <c r="L757" s="149"/>
      <c r="M757" s="57"/>
    </row>
    <row r="758" spans="1:13" ht="27.95" customHeight="1" x14ac:dyDescent="0.25">
      <c r="A758" s="45"/>
      <c r="B758" s="199"/>
      <c r="C758" s="100"/>
      <c r="D758" s="104">
        <v>2021</v>
      </c>
      <c r="E758" s="102">
        <f t="shared" si="83"/>
        <v>0</v>
      </c>
      <c r="F758" s="120">
        <v>0</v>
      </c>
      <c r="G758" s="102">
        <v>0</v>
      </c>
      <c r="H758" s="120">
        <v>0</v>
      </c>
      <c r="I758" s="102">
        <v>0</v>
      </c>
      <c r="J758" s="120">
        <v>0</v>
      </c>
      <c r="K758" s="103"/>
      <c r="L758" s="149"/>
      <c r="M758" s="57"/>
    </row>
    <row r="759" spans="1:13" ht="27.95" customHeight="1" x14ac:dyDescent="0.25">
      <c r="A759" s="45"/>
      <c r="B759" s="199"/>
      <c r="C759" s="100"/>
      <c r="D759" s="104">
        <v>2022</v>
      </c>
      <c r="E759" s="102">
        <f>F759+G759+H759+J759</f>
        <v>2155.6</v>
      </c>
      <c r="F759" s="120">
        <v>0</v>
      </c>
      <c r="G759" s="102">
        <v>2155.6</v>
      </c>
      <c r="H759" s="120">
        <v>0</v>
      </c>
      <c r="I759" s="102">
        <v>0</v>
      </c>
      <c r="J759" s="120">
        <v>0</v>
      </c>
      <c r="K759" s="103"/>
      <c r="L759" s="149"/>
      <c r="M759" s="57"/>
    </row>
    <row r="760" spans="1:13" ht="27.95" customHeight="1" x14ac:dyDescent="0.25">
      <c r="A760" s="45"/>
      <c r="B760" s="199"/>
      <c r="C760" s="100"/>
      <c r="D760" s="104">
        <v>2023</v>
      </c>
      <c r="E760" s="102">
        <f t="shared" ref="E760:E768" si="84">F760+G760+H760+J760</f>
        <v>6822.5</v>
      </c>
      <c r="F760" s="120">
        <v>0</v>
      </c>
      <c r="G760" s="102">
        <f>6509.2+313.3</f>
        <v>6822.5</v>
      </c>
      <c r="H760" s="120">
        <v>0</v>
      </c>
      <c r="I760" s="102">
        <v>0</v>
      </c>
      <c r="J760" s="120">
        <v>0</v>
      </c>
      <c r="K760" s="103"/>
      <c r="L760" s="149"/>
      <c r="M760" s="57"/>
    </row>
    <row r="761" spans="1:13" ht="27.95" customHeight="1" x14ac:dyDescent="0.25">
      <c r="A761" s="45"/>
      <c r="B761" s="199"/>
      <c r="C761" s="100"/>
      <c r="D761" s="104">
        <v>2024</v>
      </c>
      <c r="E761" s="102">
        <f t="shared" si="84"/>
        <v>6727.1</v>
      </c>
      <c r="F761" s="120">
        <v>0</v>
      </c>
      <c r="G761" s="102">
        <f>6166.5+560.6</f>
        <v>6727.1</v>
      </c>
      <c r="H761" s="120">
        <v>0</v>
      </c>
      <c r="I761" s="102">
        <v>0</v>
      </c>
      <c r="J761" s="120">
        <v>0</v>
      </c>
      <c r="K761" s="103"/>
      <c r="L761" s="149"/>
      <c r="M761" s="57"/>
    </row>
    <row r="762" spans="1:13" ht="27.95" customHeight="1" x14ac:dyDescent="0.25">
      <c r="A762" s="45"/>
      <c r="B762" s="199"/>
      <c r="C762" s="100"/>
      <c r="D762" s="104">
        <v>2025</v>
      </c>
      <c r="E762" s="102">
        <f t="shared" si="84"/>
        <v>6727.1</v>
      </c>
      <c r="F762" s="120">
        <v>0</v>
      </c>
      <c r="G762" s="102">
        <v>6727.1</v>
      </c>
      <c r="H762" s="120">
        <v>0</v>
      </c>
      <c r="I762" s="102">
        <v>0</v>
      </c>
      <c r="J762" s="120">
        <v>0</v>
      </c>
      <c r="K762" s="103"/>
      <c r="L762" s="149"/>
      <c r="M762" s="57"/>
    </row>
    <row r="763" spans="1:13" ht="27.95" customHeight="1" x14ac:dyDescent="0.25">
      <c r="A763" s="46"/>
      <c r="B763" s="213"/>
      <c r="C763" s="107"/>
      <c r="D763" s="104">
        <v>2026</v>
      </c>
      <c r="E763" s="102">
        <f t="shared" ref="E763" si="85">F763+G763+H763+J763</f>
        <v>8131.8</v>
      </c>
      <c r="F763" s="120">
        <v>0</v>
      </c>
      <c r="G763" s="102">
        <v>8131.8</v>
      </c>
      <c r="H763" s="120">
        <v>0</v>
      </c>
      <c r="I763" s="102">
        <v>0</v>
      </c>
      <c r="J763" s="120">
        <v>0</v>
      </c>
      <c r="K763" s="109"/>
      <c r="L763" s="156"/>
      <c r="M763" s="57"/>
    </row>
    <row r="764" spans="1:13" ht="27.95" customHeight="1" thickBot="1" x14ac:dyDescent="0.3">
      <c r="A764" s="47"/>
      <c r="B764" s="216"/>
      <c r="C764" s="111"/>
      <c r="D764" s="159">
        <v>2027</v>
      </c>
      <c r="E764" s="113">
        <f t="shared" si="84"/>
        <v>0</v>
      </c>
      <c r="F764" s="123">
        <v>0</v>
      </c>
      <c r="G764" s="113">
        <v>0</v>
      </c>
      <c r="H764" s="123">
        <v>0</v>
      </c>
      <c r="I764" s="113">
        <v>0</v>
      </c>
      <c r="J764" s="123">
        <v>0</v>
      </c>
      <c r="K764" s="114"/>
      <c r="L764" s="160"/>
      <c r="M764" s="57"/>
    </row>
    <row r="765" spans="1:13" ht="27.95" customHeight="1" x14ac:dyDescent="0.25">
      <c r="A765" s="48" t="s">
        <v>209</v>
      </c>
      <c r="B765" s="259" t="s">
        <v>202</v>
      </c>
      <c r="C765" s="256"/>
      <c r="D765" s="257">
        <v>2018</v>
      </c>
      <c r="E765" s="144">
        <f t="shared" si="84"/>
        <v>0</v>
      </c>
      <c r="F765" s="258">
        <v>0</v>
      </c>
      <c r="G765" s="144">
        <v>0</v>
      </c>
      <c r="H765" s="258">
        <v>0</v>
      </c>
      <c r="I765" s="144">
        <v>0</v>
      </c>
      <c r="J765" s="258">
        <v>0</v>
      </c>
      <c r="K765" s="145" t="s">
        <v>200</v>
      </c>
      <c r="L765" s="146" t="s">
        <v>31</v>
      </c>
      <c r="M765" s="57"/>
    </row>
    <row r="766" spans="1:13" ht="27.95" customHeight="1" x14ac:dyDescent="0.25">
      <c r="A766" s="45"/>
      <c r="B766" s="260"/>
      <c r="C766" s="100"/>
      <c r="D766" s="104">
        <v>2019</v>
      </c>
      <c r="E766" s="102">
        <f t="shared" si="84"/>
        <v>0</v>
      </c>
      <c r="F766" s="120">
        <v>0</v>
      </c>
      <c r="G766" s="102">
        <v>0</v>
      </c>
      <c r="H766" s="120">
        <v>0</v>
      </c>
      <c r="I766" s="102">
        <v>0</v>
      </c>
      <c r="J766" s="120">
        <v>0</v>
      </c>
      <c r="K766" s="103"/>
      <c r="L766" s="149"/>
      <c r="M766" s="57"/>
    </row>
    <row r="767" spans="1:13" ht="27.95" customHeight="1" x14ac:dyDescent="0.25">
      <c r="A767" s="45"/>
      <c r="B767" s="260"/>
      <c r="C767" s="100"/>
      <c r="D767" s="104">
        <v>2020</v>
      </c>
      <c r="E767" s="102">
        <f t="shared" si="84"/>
        <v>0</v>
      </c>
      <c r="F767" s="120">
        <v>0</v>
      </c>
      <c r="G767" s="102">
        <v>0</v>
      </c>
      <c r="H767" s="120">
        <v>0</v>
      </c>
      <c r="I767" s="102">
        <v>0</v>
      </c>
      <c r="J767" s="120">
        <v>0</v>
      </c>
      <c r="K767" s="103"/>
      <c r="L767" s="149"/>
      <c r="M767" s="57"/>
    </row>
    <row r="768" spans="1:13" ht="27.95" customHeight="1" x14ac:dyDescent="0.25">
      <c r="A768" s="45"/>
      <c r="B768" s="260"/>
      <c r="C768" s="100"/>
      <c r="D768" s="104">
        <v>2021</v>
      </c>
      <c r="E768" s="102">
        <f t="shared" si="84"/>
        <v>0</v>
      </c>
      <c r="F768" s="120">
        <v>0</v>
      </c>
      <c r="G768" s="102">
        <v>0</v>
      </c>
      <c r="H768" s="120">
        <v>0</v>
      </c>
      <c r="I768" s="102">
        <v>0</v>
      </c>
      <c r="J768" s="120">
        <v>0</v>
      </c>
      <c r="K768" s="103"/>
      <c r="L768" s="149"/>
      <c r="M768" s="57"/>
    </row>
    <row r="769" spans="1:13" ht="27.95" customHeight="1" x14ac:dyDescent="0.25">
      <c r="A769" s="45"/>
      <c r="B769" s="260"/>
      <c r="C769" s="100"/>
      <c r="D769" s="104">
        <v>2022</v>
      </c>
      <c r="E769" s="102">
        <f>F769+G769+H769+J769</f>
        <v>0</v>
      </c>
      <c r="F769" s="120">
        <v>0</v>
      </c>
      <c r="G769" s="102">
        <v>0</v>
      </c>
      <c r="H769" s="120">
        <v>0</v>
      </c>
      <c r="I769" s="102">
        <v>0</v>
      </c>
      <c r="J769" s="120">
        <v>0</v>
      </c>
      <c r="K769" s="103"/>
      <c r="L769" s="149"/>
      <c r="M769" s="57"/>
    </row>
    <row r="770" spans="1:13" ht="27.95" customHeight="1" x14ac:dyDescent="0.25">
      <c r="A770" s="45"/>
      <c r="B770" s="260"/>
      <c r="C770" s="100"/>
      <c r="D770" s="104">
        <v>2023</v>
      </c>
      <c r="E770" s="102">
        <f t="shared" ref="E770:E778" si="86">F770+G770+H770+J770</f>
        <v>30641.8</v>
      </c>
      <c r="F770" s="120">
        <v>0</v>
      </c>
      <c r="G770" s="102">
        <f>27008.3+7617.9-5516.6</f>
        <v>29109.599999999999</v>
      </c>
      <c r="H770" s="105">
        <f>1822.6-290.4</f>
        <v>1532.1999999999998</v>
      </c>
      <c r="I770" s="102">
        <f>1822.6-290.4</f>
        <v>1532.1999999999998</v>
      </c>
      <c r="J770" s="120">
        <v>0</v>
      </c>
      <c r="K770" s="103"/>
      <c r="L770" s="149"/>
      <c r="M770" s="57"/>
    </row>
    <row r="771" spans="1:13" ht="27.95" customHeight="1" x14ac:dyDescent="0.25">
      <c r="A771" s="45"/>
      <c r="B771" s="260"/>
      <c r="C771" s="100"/>
      <c r="D771" s="104">
        <v>2024</v>
      </c>
      <c r="E771" s="102">
        <f t="shared" si="86"/>
        <v>0</v>
      </c>
      <c r="F771" s="120">
        <v>0</v>
      </c>
      <c r="G771" s="102">
        <v>0</v>
      </c>
      <c r="H771" s="261">
        <v>0</v>
      </c>
      <c r="I771" s="102">
        <v>0</v>
      </c>
      <c r="J771" s="120">
        <v>0</v>
      </c>
      <c r="K771" s="103"/>
      <c r="L771" s="149"/>
      <c r="M771" s="57"/>
    </row>
    <row r="772" spans="1:13" ht="27.95" customHeight="1" x14ac:dyDescent="0.25">
      <c r="A772" s="45"/>
      <c r="B772" s="260"/>
      <c r="C772" s="100"/>
      <c r="D772" s="104">
        <v>2025</v>
      </c>
      <c r="E772" s="102">
        <f t="shared" si="86"/>
        <v>0</v>
      </c>
      <c r="F772" s="120">
        <v>0</v>
      </c>
      <c r="G772" s="102">
        <v>0</v>
      </c>
      <c r="H772" s="261">
        <v>0</v>
      </c>
      <c r="I772" s="102">
        <v>0</v>
      </c>
      <c r="J772" s="120">
        <v>0</v>
      </c>
      <c r="K772" s="103"/>
      <c r="L772" s="149"/>
      <c r="M772" s="57"/>
    </row>
    <row r="773" spans="1:13" ht="27.95" customHeight="1" x14ac:dyDescent="0.25">
      <c r="A773" s="46"/>
      <c r="B773" s="262"/>
      <c r="C773" s="107"/>
      <c r="D773" s="104">
        <v>2026</v>
      </c>
      <c r="E773" s="102">
        <f t="shared" ref="E773" si="87">F773+G773+H773+J773</f>
        <v>0</v>
      </c>
      <c r="F773" s="120">
        <v>0</v>
      </c>
      <c r="G773" s="102">
        <v>0</v>
      </c>
      <c r="H773" s="261">
        <v>0</v>
      </c>
      <c r="I773" s="102">
        <v>0</v>
      </c>
      <c r="J773" s="120">
        <v>0</v>
      </c>
      <c r="K773" s="109"/>
      <c r="L773" s="156"/>
      <c r="M773" s="57"/>
    </row>
    <row r="774" spans="1:13" ht="27.95" customHeight="1" thickBot="1" x14ac:dyDescent="0.3">
      <c r="A774" s="47"/>
      <c r="B774" s="263"/>
      <c r="C774" s="111"/>
      <c r="D774" s="159">
        <v>2027</v>
      </c>
      <c r="E774" s="113">
        <f t="shared" si="86"/>
        <v>0</v>
      </c>
      <c r="F774" s="123">
        <v>0</v>
      </c>
      <c r="G774" s="113">
        <v>0</v>
      </c>
      <c r="H774" s="264">
        <v>0</v>
      </c>
      <c r="I774" s="113">
        <v>0</v>
      </c>
      <c r="J774" s="123">
        <v>0</v>
      </c>
      <c r="K774" s="114"/>
      <c r="L774" s="160"/>
      <c r="M774" s="57"/>
    </row>
    <row r="775" spans="1:13" ht="45" customHeight="1" x14ac:dyDescent="0.25">
      <c r="A775" s="37" t="s">
        <v>210</v>
      </c>
      <c r="B775" s="265" t="s">
        <v>214</v>
      </c>
      <c r="C775" s="256"/>
      <c r="D775" s="257">
        <v>2018</v>
      </c>
      <c r="E775" s="144">
        <f t="shared" si="86"/>
        <v>0</v>
      </c>
      <c r="F775" s="258">
        <v>0</v>
      </c>
      <c r="G775" s="144">
        <v>0</v>
      </c>
      <c r="H775" s="266">
        <v>0</v>
      </c>
      <c r="I775" s="144">
        <v>0</v>
      </c>
      <c r="J775" s="267">
        <v>0</v>
      </c>
      <c r="K775" s="268" t="s">
        <v>201</v>
      </c>
      <c r="L775" s="268" t="s">
        <v>31</v>
      </c>
      <c r="M775" s="57"/>
    </row>
    <row r="776" spans="1:13" ht="45" customHeight="1" x14ac:dyDescent="0.25">
      <c r="A776" s="38"/>
      <c r="B776" s="269"/>
      <c r="C776" s="100"/>
      <c r="D776" s="104">
        <v>2019</v>
      </c>
      <c r="E776" s="102">
        <f t="shared" si="86"/>
        <v>0</v>
      </c>
      <c r="F776" s="105">
        <v>0</v>
      </c>
      <c r="G776" s="102">
        <v>0</v>
      </c>
      <c r="H776" s="105">
        <v>0</v>
      </c>
      <c r="I776" s="102">
        <v>0</v>
      </c>
      <c r="J776" s="270">
        <v>0</v>
      </c>
      <c r="K776" s="271"/>
      <c r="L776" s="271"/>
      <c r="M776" s="57"/>
    </row>
    <row r="777" spans="1:13" ht="45" customHeight="1" x14ac:dyDescent="0.25">
      <c r="A777" s="38"/>
      <c r="B777" s="269"/>
      <c r="C777" s="100"/>
      <c r="D777" s="104">
        <v>2020</v>
      </c>
      <c r="E777" s="102">
        <f t="shared" si="86"/>
        <v>0</v>
      </c>
      <c r="F777" s="105">
        <v>0</v>
      </c>
      <c r="G777" s="102">
        <v>0</v>
      </c>
      <c r="H777" s="105">
        <v>0</v>
      </c>
      <c r="I777" s="102">
        <v>0</v>
      </c>
      <c r="J777" s="272">
        <v>0</v>
      </c>
      <c r="K777" s="271"/>
      <c r="L777" s="271"/>
      <c r="M777" s="57"/>
    </row>
    <row r="778" spans="1:13" ht="45" customHeight="1" x14ac:dyDescent="0.25">
      <c r="A778" s="38"/>
      <c r="B778" s="269"/>
      <c r="C778" s="100"/>
      <c r="D778" s="104">
        <v>2021</v>
      </c>
      <c r="E778" s="102">
        <f t="shared" si="86"/>
        <v>0</v>
      </c>
      <c r="F778" s="105">
        <v>0</v>
      </c>
      <c r="G778" s="102">
        <v>0</v>
      </c>
      <c r="H778" s="105">
        <v>0</v>
      </c>
      <c r="I778" s="102">
        <v>0</v>
      </c>
      <c r="J778" s="272">
        <v>0</v>
      </c>
      <c r="K778" s="271"/>
      <c r="L778" s="271"/>
      <c r="M778" s="57"/>
    </row>
    <row r="779" spans="1:13" ht="45" customHeight="1" x14ac:dyDescent="0.25">
      <c r="A779" s="38"/>
      <c r="B779" s="269"/>
      <c r="C779" s="100"/>
      <c r="D779" s="104">
        <v>2022</v>
      </c>
      <c r="E779" s="102">
        <f>F779+G779+H779+J779</f>
        <v>0</v>
      </c>
      <c r="F779" s="105">
        <v>0</v>
      </c>
      <c r="G779" s="102">
        <v>0</v>
      </c>
      <c r="H779" s="105">
        <v>0</v>
      </c>
      <c r="I779" s="102">
        <v>0</v>
      </c>
      <c r="J779" s="272">
        <v>0</v>
      </c>
      <c r="K779" s="271"/>
      <c r="L779" s="271"/>
      <c r="M779" s="57"/>
    </row>
    <row r="780" spans="1:13" ht="45" customHeight="1" thickBot="1" x14ac:dyDescent="0.3">
      <c r="A780" s="39"/>
      <c r="B780" s="273"/>
      <c r="C780" s="111"/>
      <c r="D780" s="122">
        <v>2023</v>
      </c>
      <c r="E780" s="201">
        <f t="shared" ref="E780:E788" si="88">F780+G780+H780+J780</f>
        <v>197.6</v>
      </c>
      <c r="F780" s="274">
        <v>0</v>
      </c>
      <c r="G780" s="201">
        <f>468.8-281.1</f>
        <v>187.7</v>
      </c>
      <c r="H780" s="274">
        <f>24.7-14.8</f>
        <v>9.8999999999999986</v>
      </c>
      <c r="I780" s="201">
        <f>24.7-14.8</f>
        <v>9.8999999999999986</v>
      </c>
      <c r="J780" s="275">
        <v>0</v>
      </c>
      <c r="K780" s="276"/>
      <c r="L780" s="276"/>
      <c r="M780" s="57"/>
    </row>
    <row r="781" spans="1:13" ht="84.75" customHeight="1" x14ac:dyDescent="0.25">
      <c r="A781" s="38"/>
      <c r="B781" s="269" t="s">
        <v>356</v>
      </c>
      <c r="C781" s="116"/>
      <c r="D781" s="277">
        <v>2024</v>
      </c>
      <c r="E781" s="118">
        <f t="shared" si="88"/>
        <v>1041.0999999999999</v>
      </c>
      <c r="F781" s="278">
        <v>0</v>
      </c>
      <c r="G781" s="128">
        <v>989</v>
      </c>
      <c r="H781" s="279">
        <f>I781</f>
        <v>52.1</v>
      </c>
      <c r="I781" s="128">
        <v>52.1</v>
      </c>
      <c r="J781" s="280">
        <v>0</v>
      </c>
      <c r="K781" s="271" t="s">
        <v>201</v>
      </c>
      <c r="L781" s="271" t="s">
        <v>31</v>
      </c>
      <c r="M781" s="57"/>
    </row>
    <row r="782" spans="1:13" ht="84.75" customHeight="1" x14ac:dyDescent="0.25">
      <c r="A782" s="38"/>
      <c r="B782" s="269"/>
      <c r="C782" s="100"/>
      <c r="D782" s="104">
        <v>2025</v>
      </c>
      <c r="E782" s="102">
        <f t="shared" si="88"/>
        <v>0</v>
      </c>
      <c r="F782" s="105">
        <v>0</v>
      </c>
      <c r="G782" s="121">
        <v>0</v>
      </c>
      <c r="H782" s="281">
        <v>0</v>
      </c>
      <c r="I782" s="121">
        <v>0</v>
      </c>
      <c r="J782" s="270">
        <v>0</v>
      </c>
      <c r="K782" s="271"/>
      <c r="L782" s="271"/>
      <c r="M782" s="57"/>
    </row>
    <row r="783" spans="1:13" ht="84.75" customHeight="1" x14ac:dyDescent="0.25">
      <c r="A783" s="38"/>
      <c r="B783" s="269"/>
      <c r="C783" s="100"/>
      <c r="D783" s="104">
        <v>2026</v>
      </c>
      <c r="E783" s="102">
        <f t="shared" ref="E783" si="89">F783+G783+H783+J783</f>
        <v>0</v>
      </c>
      <c r="F783" s="105">
        <v>0</v>
      </c>
      <c r="G783" s="121">
        <v>0</v>
      </c>
      <c r="H783" s="281">
        <v>0</v>
      </c>
      <c r="I783" s="121">
        <v>0</v>
      </c>
      <c r="J783" s="270">
        <v>0</v>
      </c>
      <c r="K783" s="271"/>
      <c r="L783" s="271"/>
      <c r="M783" s="57"/>
    </row>
    <row r="784" spans="1:13" ht="84.75" customHeight="1" thickBot="1" x14ac:dyDescent="0.3">
      <c r="A784" s="39"/>
      <c r="B784" s="273"/>
      <c r="C784" s="111"/>
      <c r="D784" s="122">
        <v>2027</v>
      </c>
      <c r="E784" s="201">
        <f t="shared" si="88"/>
        <v>0</v>
      </c>
      <c r="F784" s="274">
        <v>0</v>
      </c>
      <c r="G784" s="203">
        <v>0</v>
      </c>
      <c r="H784" s="282">
        <v>0</v>
      </c>
      <c r="I784" s="203">
        <v>0</v>
      </c>
      <c r="J784" s="275">
        <v>0</v>
      </c>
      <c r="K784" s="276"/>
      <c r="L784" s="276"/>
      <c r="M784" s="57"/>
    </row>
    <row r="785" spans="1:13" ht="23.1" customHeight="1" x14ac:dyDescent="0.25">
      <c r="A785" s="16" t="s">
        <v>211</v>
      </c>
      <c r="B785" s="141" t="s">
        <v>212</v>
      </c>
      <c r="C785" s="256"/>
      <c r="D785" s="257">
        <v>2018</v>
      </c>
      <c r="E785" s="144">
        <f t="shared" si="88"/>
        <v>0</v>
      </c>
      <c r="F785" s="258">
        <v>0</v>
      </c>
      <c r="G785" s="144">
        <v>0</v>
      </c>
      <c r="H785" s="258">
        <v>0</v>
      </c>
      <c r="I785" s="144">
        <v>0</v>
      </c>
      <c r="J785" s="258">
        <v>0</v>
      </c>
      <c r="K785" s="145" t="s">
        <v>213</v>
      </c>
      <c r="L785" s="146" t="s">
        <v>31</v>
      </c>
      <c r="M785" s="57"/>
    </row>
    <row r="786" spans="1:13" ht="23.1" customHeight="1" x14ac:dyDescent="0.25">
      <c r="A786" s="17"/>
      <c r="B786" s="99"/>
      <c r="C786" s="100"/>
      <c r="D786" s="104">
        <v>2019</v>
      </c>
      <c r="E786" s="102">
        <f t="shared" si="88"/>
        <v>0</v>
      </c>
      <c r="F786" s="120">
        <v>0</v>
      </c>
      <c r="G786" s="102">
        <v>0</v>
      </c>
      <c r="H786" s="120">
        <v>0</v>
      </c>
      <c r="I786" s="102">
        <v>0</v>
      </c>
      <c r="J786" s="120">
        <v>0</v>
      </c>
      <c r="K786" s="103"/>
      <c r="L786" s="149"/>
      <c r="M786" s="57"/>
    </row>
    <row r="787" spans="1:13" ht="23.1" customHeight="1" x14ac:dyDescent="0.25">
      <c r="A787" s="17"/>
      <c r="B787" s="99"/>
      <c r="C787" s="100"/>
      <c r="D787" s="104">
        <v>2020</v>
      </c>
      <c r="E787" s="102">
        <f t="shared" si="88"/>
        <v>0</v>
      </c>
      <c r="F787" s="120">
        <v>0</v>
      </c>
      <c r="G787" s="102">
        <v>0</v>
      </c>
      <c r="H787" s="120">
        <v>0</v>
      </c>
      <c r="I787" s="102">
        <v>0</v>
      </c>
      <c r="J787" s="120">
        <v>0</v>
      </c>
      <c r="K787" s="103"/>
      <c r="L787" s="149"/>
      <c r="M787" s="57"/>
    </row>
    <row r="788" spans="1:13" ht="23.1" customHeight="1" x14ac:dyDescent="0.25">
      <c r="A788" s="17"/>
      <c r="B788" s="99"/>
      <c r="C788" s="100"/>
      <c r="D788" s="104">
        <v>2021</v>
      </c>
      <c r="E788" s="102">
        <f t="shared" si="88"/>
        <v>0</v>
      </c>
      <c r="F788" s="120">
        <v>0</v>
      </c>
      <c r="G788" s="102">
        <v>0</v>
      </c>
      <c r="H788" s="120">
        <v>0</v>
      </c>
      <c r="I788" s="102">
        <v>0</v>
      </c>
      <c r="J788" s="120">
        <v>0</v>
      </c>
      <c r="K788" s="103"/>
      <c r="L788" s="149"/>
      <c r="M788" s="57"/>
    </row>
    <row r="789" spans="1:13" ht="23.1" customHeight="1" x14ac:dyDescent="0.25">
      <c r="A789" s="17"/>
      <c r="B789" s="99"/>
      <c r="C789" s="100"/>
      <c r="D789" s="104">
        <v>2022</v>
      </c>
      <c r="E789" s="102">
        <f>F789+G789+H789+J789</f>
        <v>0</v>
      </c>
      <c r="F789" s="120">
        <v>0</v>
      </c>
      <c r="G789" s="102">
        <v>0</v>
      </c>
      <c r="H789" s="120">
        <v>0</v>
      </c>
      <c r="I789" s="102">
        <v>0</v>
      </c>
      <c r="J789" s="120">
        <v>0</v>
      </c>
      <c r="K789" s="103"/>
      <c r="L789" s="149"/>
      <c r="M789" s="57"/>
    </row>
    <row r="790" spans="1:13" ht="23.1" customHeight="1" x14ac:dyDescent="0.25">
      <c r="A790" s="17"/>
      <c r="B790" s="99"/>
      <c r="C790" s="100"/>
      <c r="D790" s="104">
        <v>2023</v>
      </c>
      <c r="E790" s="102">
        <f>F790+G790+H790+J790</f>
        <v>5865.7000000000007</v>
      </c>
      <c r="F790" s="120">
        <v>0</v>
      </c>
      <c r="G790" s="102">
        <v>0</v>
      </c>
      <c r="H790" s="105">
        <f>3526+1786.1+553.6</f>
        <v>5865.7000000000007</v>
      </c>
      <c r="I790" s="102">
        <v>0</v>
      </c>
      <c r="J790" s="120">
        <v>0</v>
      </c>
      <c r="K790" s="103"/>
      <c r="L790" s="149"/>
      <c r="M790" s="57"/>
    </row>
    <row r="791" spans="1:13" ht="23.1" customHeight="1" x14ac:dyDescent="0.25">
      <c r="A791" s="17"/>
      <c r="B791" s="99"/>
      <c r="C791" s="100"/>
      <c r="D791" s="104">
        <v>2024</v>
      </c>
      <c r="E791" s="102">
        <f t="shared" ref="E791:E798" si="90">F791+G791+H791+J791</f>
        <v>0</v>
      </c>
      <c r="F791" s="120">
        <v>0</v>
      </c>
      <c r="G791" s="102">
        <v>0</v>
      </c>
      <c r="H791" s="105">
        <v>0</v>
      </c>
      <c r="I791" s="102">
        <v>0</v>
      </c>
      <c r="J791" s="120">
        <v>0</v>
      </c>
      <c r="K791" s="103"/>
      <c r="L791" s="149"/>
      <c r="M791" s="57"/>
    </row>
    <row r="792" spans="1:13" ht="23.1" customHeight="1" x14ac:dyDescent="0.25">
      <c r="A792" s="17"/>
      <c r="B792" s="99"/>
      <c r="C792" s="100"/>
      <c r="D792" s="104">
        <v>2025</v>
      </c>
      <c r="E792" s="102">
        <f t="shared" si="90"/>
        <v>0</v>
      </c>
      <c r="F792" s="105">
        <v>0</v>
      </c>
      <c r="G792" s="102">
        <v>0</v>
      </c>
      <c r="H792" s="105">
        <v>0</v>
      </c>
      <c r="I792" s="102">
        <v>0</v>
      </c>
      <c r="J792" s="105">
        <v>0</v>
      </c>
      <c r="K792" s="103"/>
      <c r="L792" s="149"/>
      <c r="M792" s="57"/>
    </row>
    <row r="793" spans="1:13" ht="23.1" customHeight="1" x14ac:dyDescent="0.25">
      <c r="A793" s="17"/>
      <c r="B793" s="99"/>
      <c r="C793" s="100"/>
      <c r="D793" s="104">
        <v>2026</v>
      </c>
      <c r="E793" s="102">
        <f t="shared" ref="E793" si="91">F793+G793+H793+J793</f>
        <v>0</v>
      </c>
      <c r="F793" s="105">
        <v>0</v>
      </c>
      <c r="G793" s="102">
        <v>0</v>
      </c>
      <c r="H793" s="105">
        <v>0</v>
      </c>
      <c r="I793" s="102">
        <v>0</v>
      </c>
      <c r="J793" s="105">
        <v>0</v>
      </c>
      <c r="K793" s="109"/>
      <c r="L793" s="156"/>
      <c r="M793" s="57"/>
    </row>
    <row r="794" spans="1:13" ht="23.1" customHeight="1" thickBot="1" x14ac:dyDescent="0.3">
      <c r="A794" s="18"/>
      <c r="B794" s="110"/>
      <c r="C794" s="111"/>
      <c r="D794" s="122">
        <v>2027</v>
      </c>
      <c r="E794" s="201">
        <f t="shared" si="90"/>
        <v>0</v>
      </c>
      <c r="F794" s="274">
        <v>0</v>
      </c>
      <c r="G794" s="201">
        <v>0</v>
      </c>
      <c r="H794" s="274">
        <v>0</v>
      </c>
      <c r="I794" s="201">
        <v>0</v>
      </c>
      <c r="J794" s="274">
        <v>0</v>
      </c>
      <c r="K794" s="114"/>
      <c r="L794" s="160"/>
      <c r="M794" s="57"/>
    </row>
    <row r="795" spans="1:13" ht="23.1" customHeight="1" x14ac:dyDescent="0.25">
      <c r="A795" s="16" t="s">
        <v>292</v>
      </c>
      <c r="B795" s="141" t="s">
        <v>296</v>
      </c>
      <c r="C795" s="256"/>
      <c r="D795" s="257">
        <v>2018</v>
      </c>
      <c r="E795" s="144">
        <f t="shared" si="90"/>
        <v>0</v>
      </c>
      <c r="F795" s="258">
        <v>0</v>
      </c>
      <c r="G795" s="144">
        <v>0</v>
      </c>
      <c r="H795" s="258">
        <v>0</v>
      </c>
      <c r="I795" s="144">
        <v>0</v>
      </c>
      <c r="J795" s="258">
        <v>0</v>
      </c>
      <c r="K795" s="145" t="s">
        <v>293</v>
      </c>
      <c r="L795" s="146" t="s">
        <v>31</v>
      </c>
      <c r="M795" s="57"/>
    </row>
    <row r="796" spans="1:13" ht="23.1" customHeight="1" x14ac:dyDescent="0.25">
      <c r="A796" s="17"/>
      <c r="B796" s="99"/>
      <c r="C796" s="100"/>
      <c r="D796" s="104">
        <v>2019</v>
      </c>
      <c r="E796" s="102">
        <f t="shared" si="90"/>
        <v>0</v>
      </c>
      <c r="F796" s="120">
        <v>0</v>
      </c>
      <c r="G796" s="102">
        <v>0</v>
      </c>
      <c r="H796" s="120">
        <v>0</v>
      </c>
      <c r="I796" s="102">
        <v>0</v>
      </c>
      <c r="J796" s="120">
        <v>0</v>
      </c>
      <c r="K796" s="103"/>
      <c r="L796" s="149"/>
      <c r="M796" s="57"/>
    </row>
    <row r="797" spans="1:13" ht="23.1" customHeight="1" x14ac:dyDescent="0.25">
      <c r="A797" s="17"/>
      <c r="B797" s="99"/>
      <c r="C797" s="100"/>
      <c r="D797" s="104">
        <v>2020</v>
      </c>
      <c r="E797" s="102">
        <f t="shared" si="90"/>
        <v>0</v>
      </c>
      <c r="F797" s="120">
        <v>0</v>
      </c>
      <c r="G797" s="102">
        <v>0</v>
      </c>
      <c r="H797" s="120">
        <v>0</v>
      </c>
      <c r="I797" s="102">
        <v>0</v>
      </c>
      <c r="J797" s="120">
        <v>0</v>
      </c>
      <c r="K797" s="103"/>
      <c r="L797" s="149"/>
      <c r="M797" s="57"/>
    </row>
    <row r="798" spans="1:13" ht="23.1" customHeight="1" x14ac:dyDescent="0.25">
      <c r="A798" s="17"/>
      <c r="B798" s="99"/>
      <c r="C798" s="100"/>
      <c r="D798" s="104">
        <v>2021</v>
      </c>
      <c r="E798" s="102">
        <f t="shared" si="90"/>
        <v>0</v>
      </c>
      <c r="F798" s="120">
        <v>0</v>
      </c>
      <c r="G798" s="102">
        <v>0</v>
      </c>
      <c r="H798" s="120">
        <v>0</v>
      </c>
      <c r="I798" s="102">
        <v>0</v>
      </c>
      <c r="J798" s="120">
        <v>0</v>
      </c>
      <c r="K798" s="103"/>
      <c r="L798" s="149"/>
      <c r="M798" s="57"/>
    </row>
    <row r="799" spans="1:13" ht="23.1" customHeight="1" x14ac:dyDescent="0.25">
      <c r="A799" s="17"/>
      <c r="B799" s="99"/>
      <c r="C799" s="100"/>
      <c r="D799" s="104">
        <v>2022</v>
      </c>
      <c r="E799" s="102">
        <f>F799+G799+H799+J799</f>
        <v>0</v>
      </c>
      <c r="F799" s="120">
        <v>0</v>
      </c>
      <c r="G799" s="102">
        <v>0</v>
      </c>
      <c r="H799" s="120">
        <v>0</v>
      </c>
      <c r="I799" s="102">
        <v>0</v>
      </c>
      <c r="J799" s="120">
        <v>0</v>
      </c>
      <c r="K799" s="103"/>
      <c r="L799" s="149"/>
      <c r="M799" s="57"/>
    </row>
    <row r="800" spans="1:13" ht="23.1" customHeight="1" x14ac:dyDescent="0.25">
      <c r="A800" s="17"/>
      <c r="B800" s="99"/>
      <c r="C800" s="100"/>
      <c r="D800" s="104">
        <v>2023</v>
      </c>
      <c r="E800" s="102">
        <f>F800+G800+H800+J800</f>
        <v>3300.2</v>
      </c>
      <c r="F800" s="120">
        <v>0</v>
      </c>
      <c r="G800" s="102">
        <v>0</v>
      </c>
      <c r="H800" s="105">
        <v>3300.2</v>
      </c>
      <c r="I800" s="102">
        <v>0</v>
      </c>
      <c r="J800" s="120">
        <v>0</v>
      </c>
      <c r="K800" s="103"/>
      <c r="L800" s="149"/>
      <c r="M800" s="57"/>
    </row>
    <row r="801" spans="1:13" ht="23.1" customHeight="1" x14ac:dyDescent="0.25">
      <c r="A801" s="17"/>
      <c r="B801" s="99"/>
      <c r="C801" s="100"/>
      <c r="D801" s="104">
        <v>2024</v>
      </c>
      <c r="E801" s="102">
        <f t="shared" ref="E801:E802" si="92">F801+G801+H801+J801</f>
        <v>0</v>
      </c>
      <c r="F801" s="120">
        <v>0</v>
      </c>
      <c r="G801" s="102">
        <v>0</v>
      </c>
      <c r="H801" s="105">
        <v>0</v>
      </c>
      <c r="I801" s="102">
        <v>0</v>
      </c>
      <c r="J801" s="120">
        <v>0</v>
      </c>
      <c r="K801" s="103"/>
      <c r="L801" s="149"/>
      <c r="M801" s="57"/>
    </row>
    <row r="802" spans="1:13" ht="23.1" customHeight="1" x14ac:dyDescent="0.25">
      <c r="A802" s="17"/>
      <c r="B802" s="99"/>
      <c r="C802" s="100"/>
      <c r="D802" s="104">
        <v>2025</v>
      </c>
      <c r="E802" s="102">
        <f t="shared" si="92"/>
        <v>0</v>
      </c>
      <c r="F802" s="105">
        <v>0</v>
      </c>
      <c r="G802" s="102">
        <v>0</v>
      </c>
      <c r="H802" s="105">
        <v>0</v>
      </c>
      <c r="I802" s="102">
        <v>0</v>
      </c>
      <c r="J802" s="105">
        <v>0</v>
      </c>
      <c r="K802" s="103"/>
      <c r="L802" s="149"/>
      <c r="M802" s="57"/>
    </row>
    <row r="803" spans="1:13" ht="23.1" customHeight="1" x14ac:dyDescent="0.25">
      <c r="A803" s="17"/>
      <c r="B803" s="99"/>
      <c r="C803" s="100"/>
      <c r="D803" s="104">
        <v>2026</v>
      </c>
      <c r="E803" s="102">
        <f>F803+G803+H803+J803</f>
        <v>0</v>
      </c>
      <c r="F803" s="105">
        <v>0</v>
      </c>
      <c r="G803" s="102">
        <v>0</v>
      </c>
      <c r="H803" s="105">
        <v>0</v>
      </c>
      <c r="I803" s="102">
        <v>0</v>
      </c>
      <c r="J803" s="105">
        <v>0</v>
      </c>
      <c r="K803" s="109"/>
      <c r="L803" s="156"/>
      <c r="M803" s="57"/>
    </row>
    <row r="804" spans="1:13" ht="23.1" customHeight="1" thickBot="1" x14ac:dyDescent="0.3">
      <c r="A804" s="18"/>
      <c r="B804" s="110"/>
      <c r="C804" s="111"/>
      <c r="D804" s="122">
        <v>2027</v>
      </c>
      <c r="E804" s="201">
        <f>F804+G804+H804+J804</f>
        <v>0</v>
      </c>
      <c r="F804" s="274">
        <v>0</v>
      </c>
      <c r="G804" s="201">
        <v>0</v>
      </c>
      <c r="H804" s="274">
        <v>0</v>
      </c>
      <c r="I804" s="201">
        <v>0</v>
      </c>
      <c r="J804" s="274">
        <v>0</v>
      </c>
      <c r="K804" s="114"/>
      <c r="L804" s="160"/>
      <c r="M804" s="57"/>
    </row>
    <row r="805" spans="1:13" ht="23.1" customHeight="1" x14ac:dyDescent="0.25">
      <c r="A805" s="16" t="s">
        <v>298</v>
      </c>
      <c r="B805" s="141" t="s">
        <v>300</v>
      </c>
      <c r="C805" s="256"/>
      <c r="D805" s="257">
        <v>2018</v>
      </c>
      <c r="E805" s="144">
        <f t="shared" ref="E805:E808" si="93">F805+G805+H805+J805</f>
        <v>0</v>
      </c>
      <c r="F805" s="258">
        <v>0</v>
      </c>
      <c r="G805" s="144">
        <v>0</v>
      </c>
      <c r="H805" s="258">
        <v>0</v>
      </c>
      <c r="I805" s="144">
        <v>0</v>
      </c>
      <c r="J805" s="258">
        <v>0</v>
      </c>
      <c r="K805" s="145" t="s">
        <v>299</v>
      </c>
      <c r="L805" s="146" t="s">
        <v>31</v>
      </c>
      <c r="M805" s="57"/>
    </row>
    <row r="806" spans="1:13" ht="23.1" customHeight="1" x14ac:dyDescent="0.25">
      <c r="A806" s="17"/>
      <c r="B806" s="99"/>
      <c r="C806" s="100"/>
      <c r="D806" s="104">
        <v>2019</v>
      </c>
      <c r="E806" s="102">
        <f t="shared" si="93"/>
        <v>0</v>
      </c>
      <c r="F806" s="120">
        <v>0</v>
      </c>
      <c r="G806" s="102">
        <v>0</v>
      </c>
      <c r="H806" s="120">
        <v>0</v>
      </c>
      <c r="I806" s="102">
        <v>0</v>
      </c>
      <c r="J806" s="120">
        <v>0</v>
      </c>
      <c r="K806" s="103"/>
      <c r="L806" s="149"/>
      <c r="M806" s="57"/>
    </row>
    <row r="807" spans="1:13" ht="23.1" customHeight="1" x14ac:dyDescent="0.25">
      <c r="A807" s="17"/>
      <c r="B807" s="99"/>
      <c r="C807" s="100"/>
      <c r="D807" s="104">
        <v>2020</v>
      </c>
      <c r="E807" s="102">
        <f t="shared" si="93"/>
        <v>0</v>
      </c>
      <c r="F807" s="120">
        <v>0</v>
      </c>
      <c r="G807" s="102">
        <v>0</v>
      </c>
      <c r="H807" s="120">
        <v>0</v>
      </c>
      <c r="I807" s="102">
        <v>0</v>
      </c>
      <c r="J807" s="120">
        <v>0</v>
      </c>
      <c r="K807" s="103"/>
      <c r="L807" s="149"/>
      <c r="M807" s="57"/>
    </row>
    <row r="808" spans="1:13" ht="23.1" customHeight="1" x14ac:dyDescent="0.25">
      <c r="A808" s="17"/>
      <c r="B808" s="99"/>
      <c r="C808" s="100"/>
      <c r="D808" s="104">
        <v>2021</v>
      </c>
      <c r="E808" s="102">
        <f t="shared" si="93"/>
        <v>0</v>
      </c>
      <c r="F808" s="120">
        <v>0</v>
      </c>
      <c r="G808" s="102">
        <v>0</v>
      </c>
      <c r="H808" s="120">
        <v>0</v>
      </c>
      <c r="I808" s="102">
        <v>0</v>
      </c>
      <c r="J808" s="120">
        <v>0</v>
      </c>
      <c r="K808" s="103"/>
      <c r="L808" s="149"/>
      <c r="M808" s="57"/>
    </row>
    <row r="809" spans="1:13" ht="23.1" customHeight="1" x14ac:dyDescent="0.25">
      <c r="A809" s="17"/>
      <c r="B809" s="99"/>
      <c r="C809" s="100"/>
      <c r="D809" s="104">
        <v>2022</v>
      </c>
      <c r="E809" s="102">
        <f>F809+G809+H809+J809</f>
        <v>0</v>
      </c>
      <c r="F809" s="120">
        <v>0</v>
      </c>
      <c r="G809" s="102">
        <v>0</v>
      </c>
      <c r="H809" s="120">
        <v>0</v>
      </c>
      <c r="I809" s="102">
        <v>0</v>
      </c>
      <c r="J809" s="120">
        <v>0</v>
      </c>
      <c r="K809" s="103"/>
      <c r="L809" s="149"/>
      <c r="M809" s="57"/>
    </row>
    <row r="810" spans="1:13" ht="23.1" customHeight="1" x14ac:dyDescent="0.25">
      <c r="A810" s="17"/>
      <c r="B810" s="99"/>
      <c r="C810" s="100"/>
      <c r="D810" s="104">
        <v>2023</v>
      </c>
      <c r="E810" s="102">
        <f>F810+G810+H810+J810</f>
        <v>0</v>
      </c>
      <c r="F810" s="120">
        <v>0</v>
      </c>
      <c r="G810" s="102">
        <v>0</v>
      </c>
      <c r="H810" s="105">
        <v>0</v>
      </c>
      <c r="I810" s="102">
        <v>0</v>
      </c>
      <c r="J810" s="120">
        <v>0</v>
      </c>
      <c r="K810" s="103"/>
      <c r="L810" s="149"/>
      <c r="M810" s="57"/>
    </row>
    <row r="811" spans="1:13" ht="23.1" customHeight="1" x14ac:dyDescent="0.25">
      <c r="A811" s="17"/>
      <c r="B811" s="99"/>
      <c r="C811" s="100"/>
      <c r="D811" s="104">
        <v>2024</v>
      </c>
      <c r="E811" s="102">
        <f t="shared" ref="E811:E812" si="94">F811+G811+H811+J811</f>
        <v>0</v>
      </c>
      <c r="F811" s="120">
        <v>0</v>
      </c>
      <c r="G811" s="102">
        <v>0</v>
      </c>
      <c r="H811" s="281">
        <v>0</v>
      </c>
      <c r="I811" s="121">
        <v>0</v>
      </c>
      <c r="J811" s="120">
        <v>0</v>
      </c>
      <c r="K811" s="103"/>
      <c r="L811" s="149"/>
      <c r="M811" s="57"/>
    </row>
    <row r="812" spans="1:13" ht="23.1" customHeight="1" x14ac:dyDescent="0.25">
      <c r="A812" s="17"/>
      <c r="B812" s="99"/>
      <c r="C812" s="100"/>
      <c r="D812" s="104">
        <v>2025</v>
      </c>
      <c r="E812" s="102">
        <f t="shared" si="94"/>
        <v>0</v>
      </c>
      <c r="F812" s="105">
        <v>0</v>
      </c>
      <c r="G812" s="102">
        <v>0</v>
      </c>
      <c r="H812" s="105">
        <v>0</v>
      </c>
      <c r="I812" s="102">
        <v>0</v>
      </c>
      <c r="J812" s="105">
        <v>0</v>
      </c>
      <c r="K812" s="103"/>
      <c r="L812" s="149"/>
      <c r="M812" s="57"/>
    </row>
    <row r="813" spans="1:13" ht="23.1" customHeight="1" x14ac:dyDescent="0.25">
      <c r="A813" s="17"/>
      <c r="B813" s="99"/>
      <c r="C813" s="100"/>
      <c r="D813" s="104">
        <v>2026</v>
      </c>
      <c r="E813" s="102">
        <f>F813+G813+H813+J813</f>
        <v>0</v>
      </c>
      <c r="F813" s="105">
        <v>0</v>
      </c>
      <c r="G813" s="102">
        <v>0</v>
      </c>
      <c r="H813" s="105">
        <v>0</v>
      </c>
      <c r="I813" s="102">
        <v>0</v>
      </c>
      <c r="J813" s="105">
        <v>0</v>
      </c>
      <c r="K813" s="109"/>
      <c r="L813" s="156"/>
      <c r="M813" s="57"/>
    </row>
    <row r="814" spans="1:13" ht="23.1" customHeight="1" thickBot="1" x14ac:dyDescent="0.3">
      <c r="A814" s="18"/>
      <c r="B814" s="110"/>
      <c r="C814" s="111"/>
      <c r="D814" s="122">
        <v>2027</v>
      </c>
      <c r="E814" s="201">
        <f>F814+G814+H814+J814</f>
        <v>0</v>
      </c>
      <c r="F814" s="274">
        <v>0</v>
      </c>
      <c r="G814" s="201">
        <v>0</v>
      </c>
      <c r="H814" s="274">
        <v>0</v>
      </c>
      <c r="I814" s="201">
        <v>0</v>
      </c>
      <c r="J814" s="274">
        <v>0</v>
      </c>
      <c r="K814" s="114"/>
      <c r="L814" s="160"/>
      <c r="M814" s="57"/>
    </row>
    <row r="815" spans="1:13" ht="23.1" customHeight="1" x14ac:dyDescent="0.25">
      <c r="A815" s="16" t="s">
        <v>302</v>
      </c>
      <c r="B815" s="141" t="s">
        <v>304</v>
      </c>
      <c r="C815" s="256"/>
      <c r="D815" s="257">
        <v>2018</v>
      </c>
      <c r="E815" s="144">
        <f t="shared" ref="E815:E818" si="95">F815+G815+H815+J815</f>
        <v>0</v>
      </c>
      <c r="F815" s="258">
        <v>0</v>
      </c>
      <c r="G815" s="144">
        <v>0</v>
      </c>
      <c r="H815" s="258">
        <v>0</v>
      </c>
      <c r="I815" s="144">
        <v>0</v>
      </c>
      <c r="J815" s="258">
        <v>0</v>
      </c>
      <c r="K815" s="145" t="s">
        <v>299</v>
      </c>
      <c r="L815" s="146" t="s">
        <v>31</v>
      </c>
      <c r="M815" s="57"/>
    </row>
    <row r="816" spans="1:13" ht="23.1" customHeight="1" x14ac:dyDescent="0.25">
      <c r="A816" s="17"/>
      <c r="B816" s="99"/>
      <c r="C816" s="100"/>
      <c r="D816" s="104">
        <v>2019</v>
      </c>
      <c r="E816" s="102">
        <f t="shared" si="95"/>
        <v>0</v>
      </c>
      <c r="F816" s="120">
        <v>0</v>
      </c>
      <c r="G816" s="102">
        <v>0</v>
      </c>
      <c r="H816" s="120">
        <v>0</v>
      </c>
      <c r="I816" s="102">
        <v>0</v>
      </c>
      <c r="J816" s="120">
        <v>0</v>
      </c>
      <c r="K816" s="103"/>
      <c r="L816" s="149"/>
      <c r="M816" s="57"/>
    </row>
    <row r="817" spans="1:13" ht="23.1" customHeight="1" x14ac:dyDescent="0.25">
      <c r="A817" s="17"/>
      <c r="B817" s="99"/>
      <c r="C817" s="100"/>
      <c r="D817" s="104">
        <v>2020</v>
      </c>
      <c r="E817" s="102">
        <f t="shared" si="95"/>
        <v>0</v>
      </c>
      <c r="F817" s="120">
        <v>0</v>
      </c>
      <c r="G817" s="102">
        <v>0</v>
      </c>
      <c r="H817" s="120">
        <v>0</v>
      </c>
      <c r="I817" s="102">
        <v>0</v>
      </c>
      <c r="J817" s="120">
        <v>0</v>
      </c>
      <c r="K817" s="103"/>
      <c r="L817" s="149"/>
      <c r="M817" s="57"/>
    </row>
    <row r="818" spans="1:13" ht="23.1" customHeight="1" x14ac:dyDescent="0.25">
      <c r="A818" s="17"/>
      <c r="B818" s="99"/>
      <c r="C818" s="100"/>
      <c r="D818" s="104">
        <v>2021</v>
      </c>
      <c r="E818" s="102">
        <f t="shared" si="95"/>
        <v>0</v>
      </c>
      <c r="F818" s="120">
        <v>0</v>
      </c>
      <c r="G818" s="102">
        <v>0</v>
      </c>
      <c r="H818" s="120">
        <v>0</v>
      </c>
      <c r="I818" s="102">
        <v>0</v>
      </c>
      <c r="J818" s="120">
        <v>0</v>
      </c>
      <c r="K818" s="103"/>
      <c r="L818" s="149"/>
      <c r="M818" s="57"/>
    </row>
    <row r="819" spans="1:13" ht="23.1" customHeight="1" x14ac:dyDescent="0.25">
      <c r="A819" s="17"/>
      <c r="B819" s="99"/>
      <c r="C819" s="100"/>
      <c r="D819" s="104">
        <v>2022</v>
      </c>
      <c r="E819" s="102">
        <f>F819+G819+H819+J819</f>
        <v>0</v>
      </c>
      <c r="F819" s="120">
        <v>0</v>
      </c>
      <c r="G819" s="102">
        <v>0</v>
      </c>
      <c r="H819" s="120">
        <v>0</v>
      </c>
      <c r="I819" s="102">
        <v>0</v>
      </c>
      <c r="J819" s="120">
        <v>0</v>
      </c>
      <c r="K819" s="103"/>
      <c r="L819" s="149"/>
      <c r="M819" s="57"/>
    </row>
    <row r="820" spans="1:13" ht="23.1" customHeight="1" x14ac:dyDescent="0.25">
      <c r="A820" s="17"/>
      <c r="B820" s="99"/>
      <c r="C820" s="100"/>
      <c r="D820" s="104">
        <v>2023</v>
      </c>
      <c r="E820" s="102">
        <f>F820+G820+H820+J820</f>
        <v>240</v>
      </c>
      <c r="F820" s="120">
        <v>0</v>
      </c>
      <c r="G820" s="102">
        <v>0</v>
      </c>
      <c r="H820" s="105">
        <f>150+90</f>
        <v>240</v>
      </c>
      <c r="I820" s="102">
        <v>0</v>
      </c>
      <c r="J820" s="120">
        <v>0</v>
      </c>
      <c r="K820" s="103"/>
      <c r="L820" s="149"/>
      <c r="M820" s="57"/>
    </row>
    <row r="821" spans="1:13" ht="23.1" customHeight="1" x14ac:dyDescent="0.25">
      <c r="A821" s="17"/>
      <c r="B821" s="99"/>
      <c r="C821" s="100"/>
      <c r="D821" s="104">
        <v>2024</v>
      </c>
      <c r="E821" s="102">
        <f t="shared" ref="E821:E822" si="96">F821+G821+H821+J821</f>
        <v>445</v>
      </c>
      <c r="F821" s="120">
        <v>0</v>
      </c>
      <c r="G821" s="102">
        <v>0</v>
      </c>
      <c r="H821" s="281">
        <f>445</f>
        <v>445</v>
      </c>
      <c r="I821" s="121">
        <v>0</v>
      </c>
      <c r="J821" s="120">
        <v>0</v>
      </c>
      <c r="K821" s="103"/>
      <c r="L821" s="149"/>
      <c r="M821" s="57"/>
    </row>
    <row r="822" spans="1:13" ht="23.1" customHeight="1" x14ac:dyDescent="0.25">
      <c r="A822" s="17"/>
      <c r="B822" s="99"/>
      <c r="C822" s="100"/>
      <c r="D822" s="104">
        <v>2025</v>
      </c>
      <c r="E822" s="102">
        <f t="shared" si="96"/>
        <v>0</v>
      </c>
      <c r="F822" s="105">
        <v>0</v>
      </c>
      <c r="G822" s="102">
        <v>0</v>
      </c>
      <c r="H822" s="105">
        <v>0</v>
      </c>
      <c r="I822" s="102">
        <v>0</v>
      </c>
      <c r="J822" s="105">
        <v>0</v>
      </c>
      <c r="K822" s="103"/>
      <c r="L822" s="149"/>
      <c r="M822" s="57"/>
    </row>
    <row r="823" spans="1:13" ht="23.1" customHeight="1" x14ac:dyDescent="0.25">
      <c r="A823" s="17"/>
      <c r="B823" s="99"/>
      <c r="C823" s="100"/>
      <c r="D823" s="104">
        <v>2026</v>
      </c>
      <c r="E823" s="102">
        <f>F823+G823+H823+J823</f>
        <v>0</v>
      </c>
      <c r="F823" s="105">
        <v>0</v>
      </c>
      <c r="G823" s="102">
        <v>0</v>
      </c>
      <c r="H823" s="105">
        <v>0</v>
      </c>
      <c r="I823" s="102">
        <v>0</v>
      </c>
      <c r="J823" s="105">
        <v>0</v>
      </c>
      <c r="K823" s="109"/>
      <c r="L823" s="156"/>
      <c r="M823" s="57"/>
    </row>
    <row r="824" spans="1:13" ht="23.1" customHeight="1" thickBot="1" x14ac:dyDescent="0.3">
      <c r="A824" s="18"/>
      <c r="B824" s="110"/>
      <c r="C824" s="111"/>
      <c r="D824" s="122">
        <v>2027</v>
      </c>
      <c r="E824" s="201">
        <f>F824+G824+H824+J824</f>
        <v>0</v>
      </c>
      <c r="F824" s="274">
        <v>0</v>
      </c>
      <c r="G824" s="201">
        <v>0</v>
      </c>
      <c r="H824" s="274">
        <v>0</v>
      </c>
      <c r="I824" s="201">
        <v>0</v>
      </c>
      <c r="J824" s="274">
        <v>0</v>
      </c>
      <c r="K824" s="114"/>
      <c r="L824" s="160"/>
      <c r="M824" s="57"/>
    </row>
    <row r="825" spans="1:13" ht="21.95" customHeight="1" x14ac:dyDescent="0.25">
      <c r="A825" s="19" t="s">
        <v>303</v>
      </c>
      <c r="B825" s="115" t="s">
        <v>305</v>
      </c>
      <c r="C825" s="116"/>
      <c r="D825" s="277">
        <v>2018</v>
      </c>
      <c r="E825" s="118">
        <f t="shared" ref="E825:E828" si="97">F825+G825+H825+J825</f>
        <v>0</v>
      </c>
      <c r="F825" s="283">
        <v>0</v>
      </c>
      <c r="G825" s="118">
        <v>0</v>
      </c>
      <c r="H825" s="283">
        <v>0</v>
      </c>
      <c r="I825" s="118">
        <v>0</v>
      </c>
      <c r="J825" s="283">
        <v>0</v>
      </c>
      <c r="K825" s="119" t="s">
        <v>306</v>
      </c>
      <c r="L825" s="220" t="s">
        <v>31</v>
      </c>
      <c r="M825" s="57"/>
    </row>
    <row r="826" spans="1:13" ht="21.95" customHeight="1" x14ac:dyDescent="0.25">
      <c r="A826" s="20"/>
      <c r="B826" s="99"/>
      <c r="C826" s="100"/>
      <c r="D826" s="104">
        <v>2019</v>
      </c>
      <c r="E826" s="102">
        <f t="shared" si="97"/>
        <v>0</v>
      </c>
      <c r="F826" s="120">
        <v>0</v>
      </c>
      <c r="G826" s="102">
        <v>0</v>
      </c>
      <c r="H826" s="120">
        <v>0</v>
      </c>
      <c r="I826" s="102">
        <v>0</v>
      </c>
      <c r="J826" s="120">
        <v>0</v>
      </c>
      <c r="K826" s="103"/>
      <c r="L826" s="149"/>
      <c r="M826" s="57"/>
    </row>
    <row r="827" spans="1:13" ht="21.95" customHeight="1" x14ac:dyDescent="0.25">
      <c r="A827" s="20"/>
      <c r="B827" s="99"/>
      <c r="C827" s="100"/>
      <c r="D827" s="104">
        <v>2020</v>
      </c>
      <c r="E827" s="102">
        <f t="shared" si="97"/>
        <v>0</v>
      </c>
      <c r="F827" s="120">
        <v>0</v>
      </c>
      <c r="G827" s="102">
        <v>0</v>
      </c>
      <c r="H827" s="120">
        <v>0</v>
      </c>
      <c r="I827" s="102">
        <v>0</v>
      </c>
      <c r="J827" s="120">
        <v>0</v>
      </c>
      <c r="K827" s="103"/>
      <c r="L827" s="149"/>
      <c r="M827" s="57"/>
    </row>
    <row r="828" spans="1:13" ht="21.95" customHeight="1" x14ac:dyDescent="0.25">
      <c r="A828" s="20"/>
      <c r="B828" s="99"/>
      <c r="C828" s="100"/>
      <c r="D828" s="104">
        <v>2021</v>
      </c>
      <c r="E828" s="102">
        <f t="shared" si="97"/>
        <v>0</v>
      </c>
      <c r="F828" s="120">
        <v>0</v>
      </c>
      <c r="G828" s="102">
        <v>0</v>
      </c>
      <c r="H828" s="120">
        <v>0</v>
      </c>
      <c r="I828" s="102">
        <v>0</v>
      </c>
      <c r="J828" s="120">
        <v>0</v>
      </c>
      <c r="K828" s="103"/>
      <c r="L828" s="149"/>
      <c r="M828" s="57"/>
    </row>
    <row r="829" spans="1:13" ht="21.95" customHeight="1" x14ac:dyDescent="0.25">
      <c r="A829" s="20"/>
      <c r="B829" s="99"/>
      <c r="C829" s="100"/>
      <c r="D829" s="104">
        <v>2022</v>
      </c>
      <c r="E829" s="102">
        <f>F829+G829+H829+J829</f>
        <v>0</v>
      </c>
      <c r="F829" s="120">
        <v>0</v>
      </c>
      <c r="G829" s="102">
        <v>0</v>
      </c>
      <c r="H829" s="120">
        <v>0</v>
      </c>
      <c r="I829" s="102">
        <v>0</v>
      </c>
      <c r="J829" s="120">
        <v>0</v>
      </c>
      <c r="K829" s="103"/>
      <c r="L829" s="149"/>
      <c r="M829" s="57"/>
    </row>
    <row r="830" spans="1:13" ht="21.95" customHeight="1" x14ac:dyDescent="0.25">
      <c r="A830" s="20"/>
      <c r="B830" s="99"/>
      <c r="C830" s="100"/>
      <c r="D830" s="104">
        <v>2023</v>
      </c>
      <c r="E830" s="102">
        <f>F830+G830+H830+J830</f>
        <v>50</v>
      </c>
      <c r="F830" s="120">
        <v>0</v>
      </c>
      <c r="G830" s="102">
        <v>0</v>
      </c>
      <c r="H830" s="105">
        <f>182.9-132.9</f>
        <v>50</v>
      </c>
      <c r="I830" s="102">
        <v>0</v>
      </c>
      <c r="J830" s="120">
        <v>0</v>
      </c>
      <c r="K830" s="103"/>
      <c r="L830" s="149"/>
      <c r="M830" s="57"/>
    </row>
    <row r="831" spans="1:13" ht="21.95" customHeight="1" x14ac:dyDescent="0.25">
      <c r="A831" s="20"/>
      <c r="B831" s="99"/>
      <c r="C831" s="100"/>
      <c r="D831" s="104">
        <v>2024</v>
      </c>
      <c r="E831" s="102">
        <f>F831+G831+H831+J831</f>
        <v>170</v>
      </c>
      <c r="F831" s="120">
        <v>0</v>
      </c>
      <c r="G831" s="102">
        <v>0</v>
      </c>
      <c r="H831" s="281">
        <f>180-10</f>
        <v>170</v>
      </c>
      <c r="I831" s="121">
        <v>0</v>
      </c>
      <c r="J831" s="120">
        <v>0</v>
      </c>
      <c r="K831" s="103"/>
      <c r="L831" s="149"/>
      <c r="M831" s="255">
        <f>G781+G780+G770+G762+G761+G760+G759+G754+G752+G751+G750+G749+G742+G741+G740+G739+G687+G674+G672+G671+G670+G669+G668+G667+G627+G626+G596+G607+G591+G590+G588+G587+G576+G566+G559+G555+G520+G519+G518+G517+G516+G515+G472+G471+G470+G469+G468+G467+G466+G465+G429+G416+G415+G412+G411+G410+G409+G408+G407+G406+G405+G362+G361+G360+G359+G358+G357+G356+G355+G352+G351+G350+G349+G348+G347+G346+G345+G342+G341+G340+G339+G338+G337+G326+G325+G178+G177+G176+G168+G167+G166+G165+G164+G163+G162+G161+G158+G157+G156+G155+G154+G153+G152+G151+G100+G99+G98+G90+G89+G88+G87+G86+G85+G84+G83+G80+G79+G78+G77+G76+G75+G74+G73+G24+G23+G12+G11</f>
        <v>18946178.699999999</v>
      </c>
    </row>
    <row r="832" spans="1:13" ht="21.95" customHeight="1" x14ac:dyDescent="0.25">
      <c r="A832" s="20"/>
      <c r="B832" s="99"/>
      <c r="C832" s="100"/>
      <c r="D832" s="104">
        <v>2025</v>
      </c>
      <c r="E832" s="102">
        <f t="shared" ref="E832" si="98">F832+G832+H832+J832</f>
        <v>106.1</v>
      </c>
      <c r="F832" s="105">
        <v>0</v>
      </c>
      <c r="G832" s="102">
        <v>0</v>
      </c>
      <c r="H832" s="105">
        <v>106.1</v>
      </c>
      <c r="I832" s="102">
        <v>0</v>
      </c>
      <c r="J832" s="105">
        <v>0</v>
      </c>
      <c r="K832" s="103"/>
      <c r="L832" s="149"/>
      <c r="M832" s="255">
        <f>M831-9078393.7</f>
        <v>9867785</v>
      </c>
    </row>
    <row r="833" spans="1:14" ht="21.95" customHeight="1" x14ac:dyDescent="0.25">
      <c r="A833" s="20"/>
      <c r="B833" s="99"/>
      <c r="C833" s="100"/>
      <c r="D833" s="104">
        <v>2026</v>
      </c>
      <c r="E833" s="102">
        <f>F833+G833+H833+J833</f>
        <v>110.3</v>
      </c>
      <c r="F833" s="105">
        <v>0</v>
      </c>
      <c r="G833" s="102">
        <v>0</v>
      </c>
      <c r="H833" s="105">
        <v>110.3</v>
      </c>
      <c r="I833" s="102">
        <v>0</v>
      </c>
      <c r="J833" s="105">
        <v>0</v>
      </c>
      <c r="K833" s="109"/>
      <c r="L833" s="156"/>
      <c r="M833" s="255"/>
    </row>
    <row r="834" spans="1:14" ht="21.95" customHeight="1" thickBot="1" x14ac:dyDescent="0.3">
      <c r="A834" s="20"/>
      <c r="B834" s="99"/>
      <c r="C834" s="100"/>
      <c r="D834" s="104">
        <v>2027</v>
      </c>
      <c r="E834" s="102">
        <f>F834+G834+H834+J834</f>
        <v>114.8</v>
      </c>
      <c r="F834" s="105">
        <v>0</v>
      </c>
      <c r="G834" s="102">
        <v>0</v>
      </c>
      <c r="H834" s="105">
        <v>114.8</v>
      </c>
      <c r="I834" s="102">
        <v>0</v>
      </c>
      <c r="J834" s="105">
        <v>0</v>
      </c>
      <c r="K834" s="114"/>
      <c r="L834" s="160"/>
      <c r="M834" s="255"/>
      <c r="N834" s="284"/>
    </row>
    <row r="835" spans="1:14" ht="21.95" customHeight="1" x14ac:dyDescent="0.25">
      <c r="A835" s="20" t="s">
        <v>307</v>
      </c>
      <c r="B835" s="99" t="s">
        <v>321</v>
      </c>
      <c r="C835" s="100"/>
      <c r="D835" s="104">
        <v>2018</v>
      </c>
      <c r="E835" s="102">
        <v>0</v>
      </c>
      <c r="F835" s="102">
        <v>0</v>
      </c>
      <c r="G835" s="102">
        <v>0</v>
      </c>
      <c r="H835" s="102">
        <v>0</v>
      </c>
      <c r="I835" s="102">
        <v>0</v>
      </c>
      <c r="J835" s="102">
        <v>0</v>
      </c>
      <c r="K835" s="178" t="s">
        <v>320</v>
      </c>
      <c r="L835" s="146" t="s">
        <v>31</v>
      </c>
      <c r="M835" s="255"/>
      <c r="N835" s="284"/>
    </row>
    <row r="836" spans="1:14" ht="21.95" customHeight="1" x14ac:dyDescent="0.25">
      <c r="A836" s="21"/>
      <c r="B836" s="99"/>
      <c r="C836" s="100"/>
      <c r="D836" s="104">
        <v>2019</v>
      </c>
      <c r="E836" s="102">
        <v>0</v>
      </c>
      <c r="F836" s="102">
        <v>0</v>
      </c>
      <c r="G836" s="102">
        <v>0</v>
      </c>
      <c r="H836" s="102">
        <v>0</v>
      </c>
      <c r="I836" s="102">
        <v>0</v>
      </c>
      <c r="J836" s="102">
        <v>0</v>
      </c>
      <c r="K836" s="181"/>
      <c r="L836" s="149"/>
      <c r="M836" s="255"/>
      <c r="N836" s="284"/>
    </row>
    <row r="837" spans="1:14" ht="21.95" customHeight="1" x14ac:dyDescent="0.25">
      <c r="A837" s="21"/>
      <c r="B837" s="99"/>
      <c r="C837" s="100"/>
      <c r="D837" s="104">
        <v>2020</v>
      </c>
      <c r="E837" s="102">
        <v>0</v>
      </c>
      <c r="F837" s="102">
        <v>0</v>
      </c>
      <c r="G837" s="102">
        <v>0</v>
      </c>
      <c r="H837" s="102">
        <v>0</v>
      </c>
      <c r="I837" s="102">
        <v>0</v>
      </c>
      <c r="J837" s="102">
        <v>0</v>
      </c>
      <c r="K837" s="181"/>
      <c r="L837" s="149"/>
      <c r="M837" s="255"/>
      <c r="N837" s="284"/>
    </row>
    <row r="838" spans="1:14" ht="21.95" customHeight="1" x14ac:dyDescent="0.25">
      <c r="A838" s="21"/>
      <c r="B838" s="99"/>
      <c r="C838" s="100"/>
      <c r="D838" s="104">
        <v>2021</v>
      </c>
      <c r="E838" s="102">
        <v>0</v>
      </c>
      <c r="F838" s="102">
        <v>0</v>
      </c>
      <c r="G838" s="102">
        <v>0</v>
      </c>
      <c r="H838" s="102">
        <v>0</v>
      </c>
      <c r="I838" s="102">
        <v>0</v>
      </c>
      <c r="J838" s="102">
        <v>0</v>
      </c>
      <c r="K838" s="181"/>
      <c r="L838" s="149"/>
      <c r="M838" s="255"/>
      <c r="N838" s="284"/>
    </row>
    <row r="839" spans="1:14" ht="21.95" customHeight="1" x14ac:dyDescent="0.25">
      <c r="A839" s="21"/>
      <c r="B839" s="99"/>
      <c r="C839" s="100"/>
      <c r="D839" s="104">
        <v>2022</v>
      </c>
      <c r="E839" s="102">
        <v>0</v>
      </c>
      <c r="F839" s="102">
        <v>0</v>
      </c>
      <c r="G839" s="102">
        <v>0</v>
      </c>
      <c r="H839" s="102">
        <v>0</v>
      </c>
      <c r="I839" s="102">
        <v>0</v>
      </c>
      <c r="J839" s="102">
        <v>0</v>
      </c>
      <c r="K839" s="181"/>
      <c r="L839" s="149"/>
      <c r="M839" s="255"/>
      <c r="N839" s="284"/>
    </row>
    <row r="840" spans="1:14" ht="21.95" customHeight="1" x14ac:dyDescent="0.25">
      <c r="A840" s="21"/>
      <c r="B840" s="99"/>
      <c r="C840" s="100"/>
      <c r="D840" s="104">
        <v>2023</v>
      </c>
      <c r="E840" s="102">
        <f>F840+G840+H840+I840+J840</f>
        <v>120</v>
      </c>
      <c r="F840" s="102">
        <v>0</v>
      </c>
      <c r="G840" s="102">
        <v>0</v>
      </c>
      <c r="H840" s="102">
        <v>120</v>
      </c>
      <c r="I840" s="102">
        <v>0</v>
      </c>
      <c r="J840" s="102">
        <v>0</v>
      </c>
      <c r="K840" s="181"/>
      <c r="L840" s="149"/>
      <c r="M840" s="255"/>
      <c r="N840" s="284"/>
    </row>
    <row r="841" spans="1:14" ht="21.95" customHeight="1" x14ac:dyDescent="0.25">
      <c r="A841" s="21"/>
      <c r="B841" s="99"/>
      <c r="C841" s="100"/>
      <c r="D841" s="104">
        <v>2024</v>
      </c>
      <c r="E841" s="102">
        <f>F841+G841+H841+I841+J841</f>
        <v>1440</v>
      </c>
      <c r="F841" s="102">
        <v>0</v>
      </c>
      <c r="G841" s="102">
        <v>0</v>
      </c>
      <c r="H841" s="121">
        <v>1440</v>
      </c>
      <c r="I841" s="102">
        <v>0</v>
      </c>
      <c r="J841" s="102">
        <v>0</v>
      </c>
      <c r="K841" s="181"/>
      <c r="L841" s="149"/>
      <c r="M841" s="255"/>
      <c r="N841" s="284"/>
    </row>
    <row r="842" spans="1:14" ht="21.95" customHeight="1" x14ac:dyDescent="0.25">
      <c r="A842" s="21"/>
      <c r="B842" s="99"/>
      <c r="C842" s="100"/>
      <c r="D842" s="104">
        <v>2025</v>
      </c>
      <c r="E842" s="102">
        <f>F842+G842+H842+I842+J842</f>
        <v>612</v>
      </c>
      <c r="F842" s="102">
        <v>0</v>
      </c>
      <c r="G842" s="102">
        <v>0</v>
      </c>
      <c r="H842" s="121">
        <v>612</v>
      </c>
      <c r="I842" s="102">
        <v>0</v>
      </c>
      <c r="J842" s="102">
        <v>0</v>
      </c>
      <c r="K842" s="181"/>
      <c r="L842" s="149"/>
      <c r="M842" s="255"/>
      <c r="N842" s="284"/>
    </row>
    <row r="843" spans="1:14" ht="21.95" customHeight="1" x14ac:dyDescent="0.25">
      <c r="A843" s="21"/>
      <c r="B843" s="99"/>
      <c r="C843" s="100"/>
      <c r="D843" s="100">
        <v>2026</v>
      </c>
      <c r="E843" s="102">
        <f>F843+G843+H843+I843+J843</f>
        <v>612</v>
      </c>
      <c r="F843" s="102">
        <v>0</v>
      </c>
      <c r="G843" s="102">
        <v>0</v>
      </c>
      <c r="H843" s="121">
        <v>612</v>
      </c>
      <c r="I843" s="102">
        <v>0</v>
      </c>
      <c r="J843" s="102">
        <v>0</v>
      </c>
      <c r="K843" s="181"/>
      <c r="L843" s="156"/>
      <c r="M843" s="255"/>
      <c r="N843" s="284"/>
    </row>
    <row r="844" spans="1:14" ht="21.95" customHeight="1" thickBot="1" x14ac:dyDescent="0.3">
      <c r="A844" s="21"/>
      <c r="B844" s="99"/>
      <c r="C844" s="100"/>
      <c r="D844" s="100">
        <v>2027</v>
      </c>
      <c r="E844" s="102">
        <f>F844+G844+H844+I844+J844</f>
        <v>612</v>
      </c>
      <c r="F844" s="102">
        <v>0</v>
      </c>
      <c r="G844" s="102">
        <v>0</v>
      </c>
      <c r="H844" s="121">
        <v>612</v>
      </c>
      <c r="I844" s="102">
        <v>0</v>
      </c>
      <c r="J844" s="102">
        <v>0</v>
      </c>
      <c r="K844" s="184"/>
      <c r="L844" s="160"/>
      <c r="M844" s="255"/>
      <c r="N844" s="284"/>
    </row>
    <row r="845" spans="1:14" ht="21.95" customHeight="1" x14ac:dyDescent="0.25">
      <c r="A845" s="20" t="s">
        <v>309</v>
      </c>
      <c r="B845" s="99" t="s">
        <v>308</v>
      </c>
      <c r="C845" s="100"/>
      <c r="D845" s="104">
        <v>2018</v>
      </c>
      <c r="E845" s="102">
        <v>0</v>
      </c>
      <c r="F845" s="102">
        <v>0</v>
      </c>
      <c r="G845" s="102">
        <v>0</v>
      </c>
      <c r="H845" s="102">
        <v>0</v>
      </c>
      <c r="I845" s="102">
        <v>0</v>
      </c>
      <c r="J845" s="102">
        <v>0</v>
      </c>
      <c r="K845" s="178" t="s">
        <v>319</v>
      </c>
      <c r="L845" s="146" t="s">
        <v>31</v>
      </c>
      <c r="M845" s="255"/>
      <c r="N845" s="284"/>
    </row>
    <row r="846" spans="1:14" ht="21.95" customHeight="1" x14ac:dyDescent="0.25">
      <c r="A846" s="20"/>
      <c r="B846" s="99"/>
      <c r="C846" s="100"/>
      <c r="D846" s="104">
        <v>2019</v>
      </c>
      <c r="E846" s="102">
        <v>0</v>
      </c>
      <c r="F846" s="102">
        <v>0</v>
      </c>
      <c r="G846" s="102">
        <v>0</v>
      </c>
      <c r="H846" s="102">
        <v>0</v>
      </c>
      <c r="I846" s="102">
        <v>0</v>
      </c>
      <c r="J846" s="102">
        <v>0</v>
      </c>
      <c r="K846" s="181"/>
      <c r="L846" s="149"/>
      <c r="M846" s="255"/>
      <c r="N846" s="284"/>
    </row>
    <row r="847" spans="1:14" ht="21.95" customHeight="1" x14ac:dyDescent="0.25">
      <c r="A847" s="20"/>
      <c r="B847" s="99"/>
      <c r="C847" s="100"/>
      <c r="D847" s="104">
        <v>2020</v>
      </c>
      <c r="E847" s="102">
        <v>0</v>
      </c>
      <c r="F847" s="102">
        <v>0</v>
      </c>
      <c r="G847" s="102">
        <v>0</v>
      </c>
      <c r="H847" s="102">
        <v>0</v>
      </c>
      <c r="I847" s="102">
        <v>0</v>
      </c>
      <c r="J847" s="102">
        <v>0</v>
      </c>
      <c r="K847" s="181"/>
      <c r="L847" s="149"/>
      <c r="M847" s="255"/>
      <c r="N847" s="284"/>
    </row>
    <row r="848" spans="1:14" ht="21.95" customHeight="1" x14ac:dyDescent="0.25">
      <c r="A848" s="20"/>
      <c r="B848" s="99"/>
      <c r="C848" s="100"/>
      <c r="D848" s="104">
        <v>2021</v>
      </c>
      <c r="E848" s="102">
        <v>0</v>
      </c>
      <c r="F848" s="102">
        <v>0</v>
      </c>
      <c r="G848" s="102">
        <v>0</v>
      </c>
      <c r="H848" s="102">
        <v>0</v>
      </c>
      <c r="I848" s="102">
        <v>0</v>
      </c>
      <c r="J848" s="102">
        <v>0</v>
      </c>
      <c r="K848" s="181"/>
      <c r="L848" s="149"/>
      <c r="M848" s="255"/>
      <c r="N848" s="284"/>
    </row>
    <row r="849" spans="1:14" ht="21.95" customHeight="1" x14ac:dyDescent="0.25">
      <c r="A849" s="20"/>
      <c r="B849" s="99"/>
      <c r="C849" s="100"/>
      <c r="D849" s="104">
        <v>2022</v>
      </c>
      <c r="E849" s="102">
        <v>0</v>
      </c>
      <c r="F849" s="102">
        <v>0</v>
      </c>
      <c r="G849" s="102">
        <v>0</v>
      </c>
      <c r="H849" s="102">
        <v>0</v>
      </c>
      <c r="I849" s="102">
        <v>0</v>
      </c>
      <c r="J849" s="102">
        <v>0</v>
      </c>
      <c r="K849" s="181"/>
      <c r="L849" s="149"/>
      <c r="M849" s="255"/>
      <c r="N849" s="284"/>
    </row>
    <row r="850" spans="1:14" ht="21.95" customHeight="1" x14ac:dyDescent="0.25">
      <c r="A850" s="20"/>
      <c r="B850" s="99"/>
      <c r="C850" s="100"/>
      <c r="D850" s="104">
        <v>2023</v>
      </c>
      <c r="E850" s="102">
        <f>F850+G850+H850+I850+J850</f>
        <v>1000</v>
      </c>
      <c r="F850" s="102">
        <v>0</v>
      </c>
      <c r="G850" s="102">
        <v>0</v>
      </c>
      <c r="H850" s="102">
        <v>1000</v>
      </c>
      <c r="I850" s="102">
        <v>0</v>
      </c>
      <c r="J850" s="102">
        <v>0</v>
      </c>
      <c r="K850" s="181"/>
      <c r="L850" s="149"/>
      <c r="M850" s="255"/>
      <c r="N850" s="284"/>
    </row>
    <row r="851" spans="1:14" ht="21.95" customHeight="1" x14ac:dyDescent="0.25">
      <c r="A851" s="20"/>
      <c r="B851" s="99"/>
      <c r="C851" s="100"/>
      <c r="D851" s="104">
        <v>2024</v>
      </c>
      <c r="E851" s="102">
        <v>0</v>
      </c>
      <c r="F851" s="102">
        <v>0</v>
      </c>
      <c r="G851" s="102">
        <v>0</v>
      </c>
      <c r="H851" s="102">
        <v>0</v>
      </c>
      <c r="I851" s="102">
        <v>0</v>
      </c>
      <c r="J851" s="102">
        <v>0</v>
      </c>
      <c r="K851" s="181"/>
      <c r="L851" s="149"/>
      <c r="M851" s="255"/>
      <c r="N851" s="284"/>
    </row>
    <row r="852" spans="1:14" ht="21.95" customHeight="1" x14ac:dyDescent="0.25">
      <c r="A852" s="20"/>
      <c r="B852" s="99"/>
      <c r="C852" s="100"/>
      <c r="D852" s="104">
        <v>2025</v>
      </c>
      <c r="E852" s="102">
        <v>0</v>
      </c>
      <c r="F852" s="102">
        <v>0</v>
      </c>
      <c r="G852" s="102">
        <v>0</v>
      </c>
      <c r="H852" s="102">
        <v>0</v>
      </c>
      <c r="I852" s="102">
        <v>0</v>
      </c>
      <c r="J852" s="102">
        <v>0</v>
      </c>
      <c r="K852" s="181"/>
      <c r="L852" s="149"/>
      <c r="M852" s="255"/>
      <c r="N852" s="284"/>
    </row>
    <row r="853" spans="1:14" ht="21.95" customHeight="1" x14ac:dyDescent="0.25">
      <c r="A853" s="20"/>
      <c r="B853" s="99"/>
      <c r="C853" s="100"/>
      <c r="D853" s="104">
        <v>2026</v>
      </c>
      <c r="E853" s="102">
        <v>0</v>
      </c>
      <c r="F853" s="102">
        <v>0</v>
      </c>
      <c r="G853" s="102">
        <v>0</v>
      </c>
      <c r="H853" s="102">
        <v>0</v>
      </c>
      <c r="I853" s="102">
        <v>0</v>
      </c>
      <c r="J853" s="102">
        <v>0</v>
      </c>
      <c r="K853" s="181"/>
      <c r="L853" s="156"/>
      <c r="M853" s="255"/>
      <c r="N853" s="284"/>
    </row>
    <row r="854" spans="1:14" ht="21.95" customHeight="1" thickBot="1" x14ac:dyDescent="0.3">
      <c r="A854" s="22"/>
      <c r="B854" s="106"/>
      <c r="C854" s="107"/>
      <c r="D854" s="108">
        <v>2027</v>
      </c>
      <c r="E854" s="154">
        <v>0</v>
      </c>
      <c r="F854" s="154">
        <v>0</v>
      </c>
      <c r="G854" s="154">
        <v>0</v>
      </c>
      <c r="H854" s="154">
        <v>0</v>
      </c>
      <c r="I854" s="154">
        <v>0</v>
      </c>
      <c r="J854" s="154">
        <v>0</v>
      </c>
      <c r="K854" s="181"/>
      <c r="L854" s="156"/>
      <c r="M854" s="255"/>
      <c r="N854" s="284"/>
    </row>
    <row r="855" spans="1:14" ht="21.95" customHeight="1" x14ac:dyDescent="0.25">
      <c r="A855" s="16" t="s">
        <v>310</v>
      </c>
      <c r="B855" s="141" t="s">
        <v>311</v>
      </c>
      <c r="C855" s="256"/>
      <c r="D855" s="257">
        <v>2018</v>
      </c>
      <c r="E855" s="144">
        <v>0</v>
      </c>
      <c r="F855" s="144">
        <v>0</v>
      </c>
      <c r="G855" s="144">
        <v>0</v>
      </c>
      <c r="H855" s="144">
        <v>0</v>
      </c>
      <c r="I855" s="144">
        <v>0</v>
      </c>
      <c r="J855" s="144">
        <v>0</v>
      </c>
      <c r="K855" s="145" t="s">
        <v>340</v>
      </c>
      <c r="L855" s="146" t="s">
        <v>31</v>
      </c>
      <c r="M855" s="255"/>
      <c r="N855" s="284"/>
    </row>
    <row r="856" spans="1:14" ht="21.95" customHeight="1" x14ac:dyDescent="0.25">
      <c r="A856" s="17"/>
      <c r="B856" s="99"/>
      <c r="C856" s="100"/>
      <c r="D856" s="104">
        <v>2019</v>
      </c>
      <c r="E856" s="102">
        <v>0</v>
      </c>
      <c r="F856" s="102">
        <v>0</v>
      </c>
      <c r="G856" s="102">
        <v>0</v>
      </c>
      <c r="H856" s="102">
        <v>0</v>
      </c>
      <c r="I856" s="102">
        <v>0</v>
      </c>
      <c r="J856" s="102">
        <v>0</v>
      </c>
      <c r="K856" s="103"/>
      <c r="L856" s="149"/>
      <c r="M856" s="255"/>
      <c r="N856" s="284"/>
    </row>
    <row r="857" spans="1:14" ht="21.95" customHeight="1" x14ac:dyDescent="0.25">
      <c r="A857" s="17"/>
      <c r="B857" s="99"/>
      <c r="C857" s="100"/>
      <c r="D857" s="104">
        <v>2020</v>
      </c>
      <c r="E857" s="102">
        <v>0</v>
      </c>
      <c r="F857" s="102">
        <v>0</v>
      </c>
      <c r="G857" s="102">
        <v>0</v>
      </c>
      <c r="H857" s="102">
        <v>0</v>
      </c>
      <c r="I857" s="102">
        <v>0</v>
      </c>
      <c r="J857" s="102">
        <v>0</v>
      </c>
      <c r="K857" s="103"/>
      <c r="L857" s="149"/>
      <c r="M857" s="255"/>
      <c r="N857" s="284"/>
    </row>
    <row r="858" spans="1:14" ht="21.95" customHeight="1" x14ac:dyDescent="0.25">
      <c r="A858" s="17"/>
      <c r="B858" s="99"/>
      <c r="C858" s="100"/>
      <c r="D858" s="104">
        <v>2021</v>
      </c>
      <c r="E858" s="102">
        <v>0</v>
      </c>
      <c r="F858" s="102">
        <v>0</v>
      </c>
      <c r="G858" s="102">
        <v>0</v>
      </c>
      <c r="H858" s="102">
        <v>0</v>
      </c>
      <c r="I858" s="102">
        <v>0</v>
      </c>
      <c r="J858" s="102">
        <v>0</v>
      </c>
      <c r="K858" s="103"/>
      <c r="L858" s="149"/>
      <c r="M858" s="255"/>
      <c r="N858" s="284"/>
    </row>
    <row r="859" spans="1:14" ht="21.95" customHeight="1" x14ac:dyDescent="0.25">
      <c r="A859" s="17"/>
      <c r="B859" s="99"/>
      <c r="C859" s="100"/>
      <c r="D859" s="104">
        <v>2022</v>
      </c>
      <c r="E859" s="102">
        <v>0</v>
      </c>
      <c r="F859" s="102">
        <v>0</v>
      </c>
      <c r="G859" s="102">
        <v>0</v>
      </c>
      <c r="H859" s="102">
        <v>0</v>
      </c>
      <c r="I859" s="102">
        <v>0</v>
      </c>
      <c r="J859" s="102">
        <v>0</v>
      </c>
      <c r="K859" s="103"/>
      <c r="L859" s="149"/>
      <c r="M859" s="255"/>
      <c r="N859" s="284"/>
    </row>
    <row r="860" spans="1:14" ht="21.95" customHeight="1" x14ac:dyDescent="0.25">
      <c r="A860" s="17"/>
      <c r="B860" s="99"/>
      <c r="C860" s="100"/>
      <c r="D860" s="104">
        <v>2023</v>
      </c>
      <c r="E860" s="102">
        <v>0</v>
      </c>
      <c r="F860" s="102">
        <v>0</v>
      </c>
      <c r="G860" s="102">
        <v>0</v>
      </c>
      <c r="H860" s="102">
        <f>I860</f>
        <v>0</v>
      </c>
      <c r="I860" s="102">
        <v>0</v>
      </c>
      <c r="J860" s="102">
        <v>0</v>
      </c>
      <c r="K860" s="103"/>
      <c r="L860" s="149"/>
      <c r="M860" s="255"/>
      <c r="N860" s="284"/>
    </row>
    <row r="861" spans="1:14" ht="21.95" customHeight="1" x14ac:dyDescent="0.25">
      <c r="A861" s="17"/>
      <c r="B861" s="99"/>
      <c r="C861" s="100"/>
      <c r="D861" s="104">
        <v>2024</v>
      </c>
      <c r="E861" s="102">
        <v>0</v>
      </c>
      <c r="F861" s="102">
        <v>0</v>
      </c>
      <c r="G861" s="102">
        <v>0</v>
      </c>
      <c r="H861" s="121">
        <v>0</v>
      </c>
      <c r="I861" s="121">
        <v>0</v>
      </c>
      <c r="J861" s="102">
        <v>0</v>
      </c>
      <c r="K861" s="103"/>
      <c r="L861" s="149"/>
      <c r="M861" s="255"/>
      <c r="N861" s="284"/>
    </row>
    <row r="862" spans="1:14" ht="21.95" customHeight="1" x14ac:dyDescent="0.25">
      <c r="A862" s="17"/>
      <c r="B862" s="99"/>
      <c r="C862" s="100"/>
      <c r="D862" s="104">
        <v>2025</v>
      </c>
      <c r="E862" s="102">
        <v>0</v>
      </c>
      <c r="F862" s="102">
        <v>0</v>
      </c>
      <c r="G862" s="102">
        <v>0</v>
      </c>
      <c r="H862" s="121">
        <v>0</v>
      </c>
      <c r="I862" s="121">
        <v>0</v>
      </c>
      <c r="J862" s="102">
        <v>0</v>
      </c>
      <c r="K862" s="103"/>
      <c r="L862" s="149"/>
      <c r="M862" s="255"/>
      <c r="N862" s="284"/>
    </row>
    <row r="863" spans="1:14" ht="21.95" customHeight="1" thickBot="1" x14ac:dyDescent="0.3">
      <c r="A863" s="17"/>
      <c r="B863" s="99"/>
      <c r="C863" s="100"/>
      <c r="D863" s="104">
        <v>2026</v>
      </c>
      <c r="E863" s="102">
        <v>0</v>
      </c>
      <c r="F863" s="102">
        <v>0</v>
      </c>
      <c r="G863" s="102">
        <v>0</v>
      </c>
      <c r="H863" s="121">
        <v>0</v>
      </c>
      <c r="I863" s="121">
        <v>0</v>
      </c>
      <c r="J863" s="102">
        <v>0</v>
      </c>
      <c r="K863" s="109"/>
      <c r="L863" s="156"/>
      <c r="M863" s="255"/>
      <c r="N863" s="284"/>
    </row>
    <row r="864" spans="1:14" s="147" customFormat="1" ht="21.95" customHeight="1" thickBot="1" x14ac:dyDescent="0.3">
      <c r="A864" s="18"/>
      <c r="B864" s="110"/>
      <c r="C864" s="111"/>
      <c r="D864" s="122">
        <v>2027</v>
      </c>
      <c r="E864" s="201">
        <v>0</v>
      </c>
      <c r="F864" s="201">
        <v>0</v>
      </c>
      <c r="G864" s="201">
        <v>0</v>
      </c>
      <c r="H864" s="203">
        <v>0</v>
      </c>
      <c r="I864" s="203">
        <v>0</v>
      </c>
      <c r="J864" s="201">
        <v>0</v>
      </c>
      <c r="K864" s="114"/>
      <c r="L864" s="160"/>
      <c r="M864" s="285"/>
      <c r="N864" s="286"/>
    </row>
    <row r="865" spans="1:14" ht="27.95" customHeight="1" x14ac:dyDescent="0.25">
      <c r="A865" s="16" t="s">
        <v>312</v>
      </c>
      <c r="B865" s="141" t="s">
        <v>318</v>
      </c>
      <c r="C865" s="256"/>
      <c r="D865" s="257">
        <v>2018</v>
      </c>
      <c r="E865" s="144">
        <v>0</v>
      </c>
      <c r="F865" s="144">
        <v>0</v>
      </c>
      <c r="G865" s="144">
        <v>0</v>
      </c>
      <c r="H865" s="144">
        <v>0</v>
      </c>
      <c r="I865" s="144">
        <v>0</v>
      </c>
      <c r="J865" s="144">
        <v>0</v>
      </c>
      <c r="K865" s="145" t="s">
        <v>187</v>
      </c>
      <c r="L865" s="146" t="s">
        <v>31</v>
      </c>
      <c r="M865" s="255"/>
      <c r="N865" s="284"/>
    </row>
    <row r="866" spans="1:14" ht="27.95" customHeight="1" x14ac:dyDescent="0.25">
      <c r="A866" s="17"/>
      <c r="B866" s="99"/>
      <c r="C866" s="100"/>
      <c r="D866" s="104">
        <v>2019</v>
      </c>
      <c r="E866" s="102">
        <v>0</v>
      </c>
      <c r="F866" s="102">
        <v>0</v>
      </c>
      <c r="G866" s="102">
        <v>0</v>
      </c>
      <c r="H866" s="102">
        <v>0</v>
      </c>
      <c r="I866" s="102">
        <v>0</v>
      </c>
      <c r="J866" s="102">
        <v>0</v>
      </c>
      <c r="K866" s="103"/>
      <c r="L866" s="149"/>
      <c r="M866" s="255"/>
      <c r="N866" s="284"/>
    </row>
    <row r="867" spans="1:14" ht="27.95" customHeight="1" x14ac:dyDescent="0.25">
      <c r="A867" s="17"/>
      <c r="B867" s="99"/>
      <c r="C867" s="100"/>
      <c r="D867" s="104">
        <v>2020</v>
      </c>
      <c r="E867" s="102">
        <v>0</v>
      </c>
      <c r="F867" s="102">
        <v>0</v>
      </c>
      <c r="G867" s="102">
        <v>0</v>
      </c>
      <c r="H867" s="102">
        <v>0</v>
      </c>
      <c r="I867" s="102">
        <v>0</v>
      </c>
      <c r="J867" s="102">
        <v>0</v>
      </c>
      <c r="K867" s="103"/>
      <c r="L867" s="149"/>
      <c r="M867" s="255"/>
      <c r="N867" s="284"/>
    </row>
    <row r="868" spans="1:14" ht="27.95" customHeight="1" x14ac:dyDescent="0.25">
      <c r="A868" s="17"/>
      <c r="B868" s="99"/>
      <c r="C868" s="100"/>
      <c r="D868" s="104">
        <v>2021</v>
      </c>
      <c r="E868" s="102">
        <v>0</v>
      </c>
      <c r="F868" s="102">
        <v>0</v>
      </c>
      <c r="G868" s="102">
        <v>0</v>
      </c>
      <c r="H868" s="102">
        <v>0</v>
      </c>
      <c r="I868" s="102">
        <v>0</v>
      </c>
      <c r="J868" s="102">
        <v>0</v>
      </c>
      <c r="K868" s="103"/>
      <c r="L868" s="149"/>
      <c r="M868" s="255"/>
      <c r="N868" s="284"/>
    </row>
    <row r="869" spans="1:14" ht="27.95" customHeight="1" x14ac:dyDescent="0.25">
      <c r="A869" s="17"/>
      <c r="B869" s="99"/>
      <c r="C869" s="100"/>
      <c r="D869" s="104">
        <v>2022</v>
      </c>
      <c r="E869" s="102">
        <v>0</v>
      </c>
      <c r="F869" s="102">
        <v>0</v>
      </c>
      <c r="G869" s="102">
        <v>0</v>
      </c>
      <c r="H869" s="102">
        <v>0</v>
      </c>
      <c r="I869" s="102">
        <v>0</v>
      </c>
      <c r="J869" s="102">
        <v>0</v>
      </c>
      <c r="K869" s="103"/>
      <c r="L869" s="149"/>
      <c r="M869" s="255"/>
      <c r="N869" s="284"/>
    </row>
    <row r="870" spans="1:14" ht="27.95" customHeight="1" x14ac:dyDescent="0.25">
      <c r="A870" s="17"/>
      <c r="B870" s="99"/>
      <c r="C870" s="100"/>
      <c r="D870" s="104">
        <v>2023</v>
      </c>
      <c r="E870" s="102">
        <v>0</v>
      </c>
      <c r="F870" s="102">
        <v>0</v>
      </c>
      <c r="G870" s="102">
        <v>0</v>
      </c>
      <c r="H870" s="102">
        <v>0</v>
      </c>
      <c r="I870" s="102">
        <v>0</v>
      </c>
      <c r="J870" s="102">
        <v>0</v>
      </c>
      <c r="K870" s="103"/>
      <c r="L870" s="149"/>
      <c r="M870" s="255"/>
      <c r="N870" s="284"/>
    </row>
    <row r="871" spans="1:14" ht="27.95" customHeight="1" x14ac:dyDescent="0.25">
      <c r="A871" s="17"/>
      <c r="B871" s="99"/>
      <c r="C871" s="100"/>
      <c r="D871" s="104">
        <v>2024</v>
      </c>
      <c r="E871" s="102">
        <f>F871+G871+H871+J871</f>
        <v>0</v>
      </c>
      <c r="F871" s="102">
        <v>0</v>
      </c>
      <c r="G871" s="102">
        <v>0</v>
      </c>
      <c r="H871" s="121">
        <v>0</v>
      </c>
      <c r="I871" s="121">
        <v>0</v>
      </c>
      <c r="J871" s="102">
        <v>0</v>
      </c>
      <c r="K871" s="103"/>
      <c r="L871" s="149"/>
      <c r="M871" s="255"/>
      <c r="N871" s="284"/>
    </row>
    <row r="872" spans="1:14" ht="27.95" customHeight="1" x14ac:dyDescent="0.25">
      <c r="A872" s="17"/>
      <c r="B872" s="99"/>
      <c r="C872" s="100"/>
      <c r="D872" s="104">
        <v>2025</v>
      </c>
      <c r="E872" s="102">
        <v>0</v>
      </c>
      <c r="F872" s="102">
        <v>0</v>
      </c>
      <c r="G872" s="102">
        <v>0</v>
      </c>
      <c r="H872" s="121">
        <v>0</v>
      </c>
      <c r="I872" s="121">
        <v>0</v>
      </c>
      <c r="J872" s="102">
        <v>0</v>
      </c>
      <c r="K872" s="103"/>
      <c r="L872" s="149"/>
      <c r="M872" s="255"/>
      <c r="N872" s="284"/>
    </row>
    <row r="873" spans="1:14" ht="27.95" customHeight="1" x14ac:dyDescent="0.25">
      <c r="A873" s="17"/>
      <c r="B873" s="99"/>
      <c r="C873" s="100"/>
      <c r="D873" s="104">
        <v>2026</v>
      </c>
      <c r="E873" s="102">
        <v>0</v>
      </c>
      <c r="F873" s="102">
        <v>0</v>
      </c>
      <c r="G873" s="102">
        <v>0</v>
      </c>
      <c r="H873" s="121">
        <v>0</v>
      </c>
      <c r="I873" s="121">
        <v>0</v>
      </c>
      <c r="J873" s="102">
        <v>0</v>
      </c>
      <c r="K873" s="109"/>
      <c r="L873" s="156"/>
      <c r="M873" s="255"/>
      <c r="N873" s="284"/>
    </row>
    <row r="874" spans="1:14" ht="27.95" customHeight="1" thickBot="1" x14ac:dyDescent="0.3">
      <c r="A874" s="18"/>
      <c r="B874" s="110"/>
      <c r="C874" s="111"/>
      <c r="D874" s="122">
        <v>2027</v>
      </c>
      <c r="E874" s="201">
        <v>0</v>
      </c>
      <c r="F874" s="201">
        <v>0</v>
      </c>
      <c r="G874" s="201">
        <v>0</v>
      </c>
      <c r="H874" s="203">
        <v>0</v>
      </c>
      <c r="I874" s="203">
        <v>0</v>
      </c>
      <c r="J874" s="201">
        <v>0</v>
      </c>
      <c r="K874" s="114"/>
      <c r="L874" s="160"/>
      <c r="M874" s="255"/>
      <c r="N874" s="284"/>
    </row>
    <row r="875" spans="1:14" ht="27.95" customHeight="1" x14ac:dyDescent="0.25">
      <c r="A875" s="16" t="s">
        <v>313</v>
      </c>
      <c r="B875" s="141" t="s">
        <v>314</v>
      </c>
      <c r="C875" s="256"/>
      <c r="D875" s="257">
        <v>2018</v>
      </c>
      <c r="E875" s="144">
        <v>0</v>
      </c>
      <c r="F875" s="144">
        <v>0</v>
      </c>
      <c r="G875" s="144">
        <v>0</v>
      </c>
      <c r="H875" s="144">
        <v>0</v>
      </c>
      <c r="I875" s="144">
        <v>0</v>
      </c>
      <c r="J875" s="144">
        <v>0</v>
      </c>
      <c r="K875" s="145" t="s">
        <v>201</v>
      </c>
      <c r="L875" s="146" t="s">
        <v>31</v>
      </c>
      <c r="M875" s="255"/>
      <c r="N875" s="284"/>
    </row>
    <row r="876" spans="1:14" ht="27.95" customHeight="1" x14ac:dyDescent="0.25">
      <c r="A876" s="17"/>
      <c r="B876" s="99"/>
      <c r="C876" s="100"/>
      <c r="D876" s="104">
        <v>2019</v>
      </c>
      <c r="E876" s="102">
        <v>0</v>
      </c>
      <c r="F876" s="102">
        <v>0</v>
      </c>
      <c r="G876" s="102">
        <v>0</v>
      </c>
      <c r="H876" s="102">
        <v>0</v>
      </c>
      <c r="I876" s="102">
        <v>0</v>
      </c>
      <c r="J876" s="102">
        <v>0</v>
      </c>
      <c r="K876" s="103"/>
      <c r="L876" s="149"/>
      <c r="M876" s="255"/>
      <c r="N876" s="284"/>
    </row>
    <row r="877" spans="1:14" ht="27.95" customHeight="1" x14ac:dyDescent="0.25">
      <c r="A877" s="17"/>
      <c r="B877" s="99"/>
      <c r="C877" s="100"/>
      <c r="D877" s="104">
        <v>2020</v>
      </c>
      <c r="E877" s="102">
        <v>0</v>
      </c>
      <c r="F877" s="102">
        <v>0</v>
      </c>
      <c r="G877" s="102">
        <v>0</v>
      </c>
      <c r="H877" s="102">
        <v>0</v>
      </c>
      <c r="I877" s="102">
        <v>0</v>
      </c>
      <c r="J877" s="102">
        <v>0</v>
      </c>
      <c r="K877" s="103"/>
      <c r="L877" s="149"/>
      <c r="M877" s="255"/>
      <c r="N877" s="284"/>
    </row>
    <row r="878" spans="1:14" ht="27.95" customHeight="1" x14ac:dyDescent="0.25">
      <c r="A878" s="17"/>
      <c r="B878" s="99"/>
      <c r="C878" s="100"/>
      <c r="D878" s="104">
        <v>2021</v>
      </c>
      <c r="E878" s="102">
        <v>0</v>
      </c>
      <c r="F878" s="102">
        <v>0</v>
      </c>
      <c r="G878" s="102">
        <v>0</v>
      </c>
      <c r="H878" s="102">
        <v>0</v>
      </c>
      <c r="I878" s="102">
        <v>0</v>
      </c>
      <c r="J878" s="102">
        <v>0</v>
      </c>
      <c r="K878" s="103"/>
      <c r="L878" s="149"/>
      <c r="M878" s="255"/>
      <c r="N878" s="284"/>
    </row>
    <row r="879" spans="1:14" ht="27.95" customHeight="1" x14ac:dyDescent="0.25">
      <c r="A879" s="17"/>
      <c r="B879" s="99"/>
      <c r="C879" s="100"/>
      <c r="D879" s="104">
        <v>2022</v>
      </c>
      <c r="E879" s="102">
        <v>0</v>
      </c>
      <c r="F879" s="102">
        <v>0</v>
      </c>
      <c r="G879" s="102">
        <v>0</v>
      </c>
      <c r="H879" s="102">
        <v>0</v>
      </c>
      <c r="I879" s="102">
        <v>0</v>
      </c>
      <c r="J879" s="102">
        <v>0</v>
      </c>
      <c r="K879" s="103"/>
      <c r="L879" s="149"/>
      <c r="M879" s="255"/>
      <c r="N879" s="284"/>
    </row>
    <row r="880" spans="1:14" ht="27.95" customHeight="1" x14ac:dyDescent="0.25">
      <c r="A880" s="17"/>
      <c r="B880" s="99"/>
      <c r="C880" s="100"/>
      <c r="D880" s="104">
        <v>2023</v>
      </c>
      <c r="E880" s="102">
        <v>0</v>
      </c>
      <c r="F880" s="102">
        <v>0</v>
      </c>
      <c r="G880" s="102">
        <v>0</v>
      </c>
      <c r="H880" s="102">
        <v>0</v>
      </c>
      <c r="I880" s="102">
        <v>0</v>
      </c>
      <c r="J880" s="102">
        <v>0</v>
      </c>
      <c r="K880" s="103"/>
      <c r="L880" s="149"/>
      <c r="M880" s="255"/>
      <c r="N880" s="284"/>
    </row>
    <row r="881" spans="1:14" ht="27.95" customHeight="1" x14ac:dyDescent="0.25">
      <c r="A881" s="17"/>
      <c r="B881" s="99"/>
      <c r="C881" s="100"/>
      <c r="D881" s="104">
        <v>2024</v>
      </c>
      <c r="E881" s="102">
        <v>0</v>
      </c>
      <c r="F881" s="102">
        <v>0</v>
      </c>
      <c r="G881" s="102">
        <v>0</v>
      </c>
      <c r="H881" s="102">
        <f>I881</f>
        <v>0</v>
      </c>
      <c r="I881" s="102">
        <v>0</v>
      </c>
      <c r="J881" s="102">
        <v>0</v>
      </c>
      <c r="K881" s="103"/>
      <c r="L881" s="149"/>
      <c r="M881" s="255"/>
      <c r="N881" s="284"/>
    </row>
    <row r="882" spans="1:14" ht="27.95" customHeight="1" x14ac:dyDescent="0.25">
      <c r="A882" s="17"/>
      <c r="B882" s="99"/>
      <c r="C882" s="100"/>
      <c r="D882" s="104">
        <v>2025</v>
      </c>
      <c r="E882" s="102">
        <v>0</v>
      </c>
      <c r="F882" s="102">
        <v>0</v>
      </c>
      <c r="G882" s="102">
        <v>0</v>
      </c>
      <c r="H882" s="102">
        <f>I882</f>
        <v>0</v>
      </c>
      <c r="I882" s="102">
        <v>0</v>
      </c>
      <c r="J882" s="102">
        <v>0</v>
      </c>
      <c r="K882" s="103"/>
      <c r="L882" s="149"/>
      <c r="M882" s="255"/>
      <c r="N882" s="284"/>
    </row>
    <row r="883" spans="1:14" ht="27.95" customHeight="1" x14ac:dyDescent="0.25">
      <c r="A883" s="17"/>
      <c r="B883" s="99"/>
      <c r="C883" s="100"/>
      <c r="D883" s="104">
        <v>2026</v>
      </c>
      <c r="E883" s="102">
        <v>0</v>
      </c>
      <c r="F883" s="102">
        <v>0</v>
      </c>
      <c r="G883" s="102">
        <v>0</v>
      </c>
      <c r="H883" s="102">
        <f>I883</f>
        <v>0</v>
      </c>
      <c r="I883" s="102">
        <v>0</v>
      </c>
      <c r="J883" s="102">
        <v>0</v>
      </c>
      <c r="K883" s="109"/>
      <c r="L883" s="156"/>
      <c r="M883" s="255"/>
      <c r="N883" s="284"/>
    </row>
    <row r="884" spans="1:14" ht="27.95" customHeight="1" thickBot="1" x14ac:dyDescent="0.3">
      <c r="A884" s="17"/>
      <c r="B884" s="99"/>
      <c r="C884" s="100"/>
      <c r="D884" s="104">
        <v>2027</v>
      </c>
      <c r="E884" s="102">
        <v>0</v>
      </c>
      <c r="F884" s="102">
        <v>0</v>
      </c>
      <c r="G884" s="102">
        <v>0</v>
      </c>
      <c r="H884" s="102">
        <f>I884</f>
        <v>0</v>
      </c>
      <c r="I884" s="102">
        <v>0</v>
      </c>
      <c r="J884" s="102">
        <v>0</v>
      </c>
      <c r="K884" s="114"/>
      <c r="L884" s="160"/>
      <c r="M884" s="255"/>
      <c r="N884" s="284"/>
    </row>
    <row r="885" spans="1:14" ht="30" customHeight="1" x14ac:dyDescent="0.25">
      <c r="A885" s="17" t="s">
        <v>315</v>
      </c>
      <c r="B885" s="99" t="s">
        <v>316</v>
      </c>
      <c r="C885" s="100"/>
      <c r="D885" s="104">
        <v>2018</v>
      </c>
      <c r="E885" s="102">
        <v>0</v>
      </c>
      <c r="F885" s="102">
        <v>0</v>
      </c>
      <c r="G885" s="102">
        <v>0</v>
      </c>
      <c r="H885" s="102">
        <v>0</v>
      </c>
      <c r="I885" s="102">
        <v>0</v>
      </c>
      <c r="J885" s="102">
        <v>0</v>
      </c>
      <c r="K885" s="287" t="s">
        <v>322</v>
      </c>
      <c r="L885" s="146" t="s">
        <v>31</v>
      </c>
      <c r="M885" s="255"/>
      <c r="N885" s="284"/>
    </row>
    <row r="886" spans="1:14" ht="30" customHeight="1" x14ac:dyDescent="0.25">
      <c r="A886" s="17"/>
      <c r="B886" s="99"/>
      <c r="C886" s="100"/>
      <c r="D886" s="104">
        <v>2019</v>
      </c>
      <c r="E886" s="102">
        <v>0</v>
      </c>
      <c r="F886" s="102">
        <v>0</v>
      </c>
      <c r="G886" s="102">
        <v>0</v>
      </c>
      <c r="H886" s="102">
        <v>0</v>
      </c>
      <c r="I886" s="102">
        <v>0</v>
      </c>
      <c r="J886" s="102">
        <v>0</v>
      </c>
      <c r="K886" s="288"/>
      <c r="L886" s="149"/>
      <c r="M886" s="255"/>
      <c r="N886" s="284"/>
    </row>
    <row r="887" spans="1:14" ht="30" customHeight="1" x14ac:dyDescent="0.25">
      <c r="A887" s="17"/>
      <c r="B887" s="99"/>
      <c r="C887" s="100"/>
      <c r="D887" s="104">
        <v>2020</v>
      </c>
      <c r="E887" s="102">
        <v>0</v>
      </c>
      <c r="F887" s="102">
        <v>0</v>
      </c>
      <c r="G887" s="102">
        <v>0</v>
      </c>
      <c r="H887" s="102">
        <v>0</v>
      </c>
      <c r="I887" s="102">
        <v>0</v>
      </c>
      <c r="J887" s="102">
        <v>0</v>
      </c>
      <c r="K887" s="288"/>
      <c r="L887" s="149"/>
      <c r="M887" s="255"/>
      <c r="N887" s="284"/>
    </row>
    <row r="888" spans="1:14" ht="30" customHeight="1" x14ac:dyDescent="0.25">
      <c r="A888" s="17"/>
      <c r="B888" s="99"/>
      <c r="C888" s="100"/>
      <c r="D888" s="104">
        <v>2021</v>
      </c>
      <c r="E888" s="102">
        <v>0</v>
      </c>
      <c r="F888" s="102">
        <v>0</v>
      </c>
      <c r="G888" s="102">
        <v>0</v>
      </c>
      <c r="H888" s="102">
        <v>0</v>
      </c>
      <c r="I888" s="102">
        <v>0</v>
      </c>
      <c r="J888" s="102">
        <v>0</v>
      </c>
      <c r="K888" s="288"/>
      <c r="L888" s="149"/>
      <c r="M888" s="255"/>
      <c r="N888" s="284"/>
    </row>
    <row r="889" spans="1:14" ht="30" customHeight="1" x14ac:dyDescent="0.25">
      <c r="A889" s="17"/>
      <c r="B889" s="99"/>
      <c r="C889" s="100"/>
      <c r="D889" s="104">
        <v>2022</v>
      </c>
      <c r="E889" s="102">
        <v>0</v>
      </c>
      <c r="F889" s="102">
        <v>0</v>
      </c>
      <c r="G889" s="102">
        <v>0</v>
      </c>
      <c r="H889" s="102">
        <v>0</v>
      </c>
      <c r="I889" s="102">
        <v>0</v>
      </c>
      <c r="J889" s="102">
        <v>0</v>
      </c>
      <c r="K889" s="288"/>
      <c r="L889" s="149"/>
      <c r="M889" s="255"/>
      <c r="N889" s="284"/>
    </row>
    <row r="890" spans="1:14" ht="30" customHeight="1" x14ac:dyDescent="0.25">
      <c r="A890" s="17"/>
      <c r="B890" s="99"/>
      <c r="C890" s="100"/>
      <c r="D890" s="104">
        <v>2023</v>
      </c>
      <c r="E890" s="102">
        <v>0</v>
      </c>
      <c r="F890" s="102">
        <v>0</v>
      </c>
      <c r="G890" s="102">
        <v>0</v>
      </c>
      <c r="H890" s="102">
        <v>0</v>
      </c>
      <c r="I890" s="102">
        <v>0</v>
      </c>
      <c r="J890" s="102">
        <v>0</v>
      </c>
      <c r="K890" s="288"/>
      <c r="L890" s="149"/>
      <c r="M890" s="255"/>
      <c r="N890" s="284"/>
    </row>
    <row r="891" spans="1:14" ht="30" customHeight="1" x14ac:dyDescent="0.25">
      <c r="A891" s="17"/>
      <c r="B891" s="99"/>
      <c r="C891" s="100"/>
      <c r="D891" s="104">
        <v>2024</v>
      </c>
      <c r="E891" s="102">
        <v>0</v>
      </c>
      <c r="F891" s="102">
        <v>0</v>
      </c>
      <c r="G891" s="121">
        <v>0</v>
      </c>
      <c r="H891" s="121">
        <v>0</v>
      </c>
      <c r="I891" s="121">
        <v>0</v>
      </c>
      <c r="J891" s="102">
        <v>0</v>
      </c>
      <c r="K891" s="288"/>
      <c r="L891" s="149"/>
      <c r="M891" s="255"/>
      <c r="N891" s="284"/>
    </row>
    <row r="892" spans="1:14" ht="30" customHeight="1" x14ac:dyDescent="0.25">
      <c r="A892" s="17"/>
      <c r="B892" s="99"/>
      <c r="C892" s="100"/>
      <c r="D892" s="104">
        <v>2025</v>
      </c>
      <c r="E892" s="102">
        <v>0</v>
      </c>
      <c r="F892" s="102">
        <v>0</v>
      </c>
      <c r="G892" s="121">
        <v>0</v>
      </c>
      <c r="H892" s="121">
        <f>I892</f>
        <v>0</v>
      </c>
      <c r="I892" s="121">
        <v>0</v>
      </c>
      <c r="J892" s="102">
        <v>0</v>
      </c>
      <c r="K892" s="288"/>
      <c r="L892" s="149"/>
      <c r="M892" s="255"/>
      <c r="N892" s="284"/>
    </row>
    <row r="893" spans="1:14" ht="30" customHeight="1" x14ac:dyDescent="0.25">
      <c r="A893" s="17"/>
      <c r="B893" s="99"/>
      <c r="C893" s="100"/>
      <c r="D893" s="104">
        <v>2026</v>
      </c>
      <c r="E893" s="102">
        <v>0</v>
      </c>
      <c r="F893" s="102">
        <v>0</v>
      </c>
      <c r="G893" s="121">
        <v>0</v>
      </c>
      <c r="H893" s="121">
        <f>I893</f>
        <v>0</v>
      </c>
      <c r="I893" s="121">
        <v>0</v>
      </c>
      <c r="J893" s="102">
        <v>0</v>
      </c>
      <c r="K893" s="289"/>
      <c r="L893" s="156"/>
      <c r="M893" s="255"/>
      <c r="N893" s="284"/>
    </row>
    <row r="894" spans="1:14" ht="30" customHeight="1" thickBot="1" x14ac:dyDescent="0.3">
      <c r="A894" s="18"/>
      <c r="B894" s="110"/>
      <c r="C894" s="111"/>
      <c r="D894" s="122">
        <v>2027</v>
      </c>
      <c r="E894" s="201">
        <v>0</v>
      </c>
      <c r="F894" s="201">
        <v>0</v>
      </c>
      <c r="G894" s="203">
        <v>0</v>
      </c>
      <c r="H894" s="203">
        <f>I894</f>
        <v>0</v>
      </c>
      <c r="I894" s="203">
        <v>0</v>
      </c>
      <c r="J894" s="201">
        <v>0</v>
      </c>
      <c r="K894" s="290"/>
      <c r="L894" s="160"/>
      <c r="M894" s="255"/>
      <c r="N894" s="284"/>
    </row>
    <row r="895" spans="1:14" ht="26.1" customHeight="1" x14ac:dyDescent="0.25">
      <c r="A895" s="23" t="s">
        <v>345</v>
      </c>
      <c r="B895" s="291" t="s">
        <v>354</v>
      </c>
      <c r="C895" s="116"/>
      <c r="D895" s="277">
        <v>2018</v>
      </c>
      <c r="E895" s="118">
        <v>0</v>
      </c>
      <c r="F895" s="118">
        <v>0</v>
      </c>
      <c r="G895" s="118">
        <v>0</v>
      </c>
      <c r="H895" s="118">
        <v>0</v>
      </c>
      <c r="I895" s="118">
        <v>0</v>
      </c>
      <c r="J895" s="118">
        <v>0</v>
      </c>
      <c r="K895" s="119" t="s">
        <v>348</v>
      </c>
      <c r="L895" s="119" t="s">
        <v>31</v>
      </c>
      <c r="M895" s="255"/>
      <c r="N895" s="284"/>
    </row>
    <row r="896" spans="1:14" ht="26.1" customHeight="1" x14ac:dyDescent="0.25">
      <c r="A896" s="23"/>
      <c r="B896" s="291"/>
      <c r="C896" s="100"/>
      <c r="D896" s="104">
        <v>2019</v>
      </c>
      <c r="E896" s="102">
        <v>0</v>
      </c>
      <c r="F896" s="102">
        <v>0</v>
      </c>
      <c r="G896" s="102">
        <v>0</v>
      </c>
      <c r="H896" s="102">
        <v>0</v>
      </c>
      <c r="I896" s="102">
        <v>0</v>
      </c>
      <c r="J896" s="102">
        <v>0</v>
      </c>
      <c r="K896" s="103"/>
      <c r="L896" s="103"/>
      <c r="M896" s="255"/>
      <c r="N896" s="284"/>
    </row>
    <row r="897" spans="1:14" ht="26.1" customHeight="1" x14ac:dyDescent="0.25">
      <c r="A897" s="23"/>
      <c r="B897" s="291"/>
      <c r="C897" s="100"/>
      <c r="D897" s="104">
        <v>2020</v>
      </c>
      <c r="E897" s="102">
        <v>0</v>
      </c>
      <c r="F897" s="102">
        <v>0</v>
      </c>
      <c r="G897" s="102">
        <v>0</v>
      </c>
      <c r="H897" s="102">
        <v>0</v>
      </c>
      <c r="I897" s="102">
        <v>0</v>
      </c>
      <c r="J897" s="102">
        <v>0</v>
      </c>
      <c r="K897" s="103"/>
      <c r="L897" s="103"/>
      <c r="M897" s="255"/>
      <c r="N897" s="284"/>
    </row>
    <row r="898" spans="1:14" ht="26.1" customHeight="1" x14ac:dyDescent="0.25">
      <c r="A898" s="23"/>
      <c r="B898" s="291"/>
      <c r="C898" s="100"/>
      <c r="D898" s="104">
        <v>2021</v>
      </c>
      <c r="E898" s="102">
        <v>0</v>
      </c>
      <c r="F898" s="102">
        <v>0</v>
      </c>
      <c r="G898" s="102">
        <v>0</v>
      </c>
      <c r="H898" s="102">
        <v>0</v>
      </c>
      <c r="I898" s="102">
        <v>0</v>
      </c>
      <c r="J898" s="102">
        <v>0</v>
      </c>
      <c r="K898" s="103"/>
      <c r="L898" s="103"/>
      <c r="M898" s="255"/>
      <c r="N898" s="284"/>
    </row>
    <row r="899" spans="1:14" ht="26.1" customHeight="1" x14ac:dyDescent="0.25">
      <c r="A899" s="23"/>
      <c r="B899" s="291"/>
      <c r="C899" s="100"/>
      <c r="D899" s="104">
        <v>2022</v>
      </c>
      <c r="E899" s="102">
        <v>0</v>
      </c>
      <c r="F899" s="102">
        <v>0</v>
      </c>
      <c r="G899" s="102">
        <v>0</v>
      </c>
      <c r="H899" s="102">
        <v>0</v>
      </c>
      <c r="I899" s="102">
        <v>0</v>
      </c>
      <c r="J899" s="102">
        <v>0</v>
      </c>
      <c r="K899" s="103"/>
      <c r="L899" s="103"/>
      <c r="M899" s="255"/>
      <c r="N899" s="284"/>
    </row>
    <row r="900" spans="1:14" ht="26.1" customHeight="1" x14ac:dyDescent="0.25">
      <c r="A900" s="23"/>
      <c r="B900" s="291"/>
      <c r="C900" s="100"/>
      <c r="D900" s="104">
        <v>2023</v>
      </c>
      <c r="E900" s="102">
        <v>0</v>
      </c>
      <c r="F900" s="102">
        <v>0</v>
      </c>
      <c r="G900" s="102">
        <v>0</v>
      </c>
      <c r="H900" s="102">
        <v>0</v>
      </c>
      <c r="I900" s="102">
        <v>0</v>
      </c>
      <c r="J900" s="102">
        <v>0</v>
      </c>
      <c r="K900" s="103"/>
      <c r="L900" s="103"/>
      <c r="M900" s="255"/>
      <c r="N900" s="284"/>
    </row>
    <row r="901" spans="1:14" ht="26.1" customHeight="1" x14ac:dyDescent="0.25">
      <c r="A901" s="23"/>
      <c r="B901" s="291"/>
      <c r="C901" s="100"/>
      <c r="D901" s="104">
        <v>2024</v>
      </c>
      <c r="E901" s="102">
        <v>130</v>
      </c>
      <c r="F901" s="102">
        <v>0</v>
      </c>
      <c r="G901" s="121">
        <v>0</v>
      </c>
      <c r="H901" s="121">
        <v>130</v>
      </c>
      <c r="I901" s="121">
        <v>0</v>
      </c>
      <c r="J901" s="102">
        <v>0</v>
      </c>
      <c r="K901" s="103"/>
      <c r="L901" s="103"/>
      <c r="M901" s="255"/>
      <c r="N901" s="284"/>
    </row>
    <row r="902" spans="1:14" ht="26.1" customHeight="1" x14ac:dyDescent="0.25">
      <c r="A902" s="23"/>
      <c r="B902" s="291"/>
      <c r="C902" s="100"/>
      <c r="D902" s="104">
        <v>2025</v>
      </c>
      <c r="E902" s="102">
        <v>0</v>
      </c>
      <c r="F902" s="102">
        <v>0</v>
      </c>
      <c r="G902" s="121">
        <v>0</v>
      </c>
      <c r="H902" s="121">
        <v>0</v>
      </c>
      <c r="I902" s="121">
        <v>0</v>
      </c>
      <c r="J902" s="102">
        <v>0</v>
      </c>
      <c r="K902" s="103"/>
      <c r="L902" s="103"/>
      <c r="M902" s="255"/>
      <c r="N902" s="284"/>
    </row>
    <row r="903" spans="1:14" ht="26.1" customHeight="1" x14ac:dyDescent="0.25">
      <c r="A903" s="23"/>
      <c r="B903" s="291"/>
      <c r="C903" s="100"/>
      <c r="D903" s="104">
        <v>2026</v>
      </c>
      <c r="E903" s="102">
        <v>0</v>
      </c>
      <c r="F903" s="102">
        <v>0</v>
      </c>
      <c r="G903" s="121">
        <v>0</v>
      </c>
      <c r="H903" s="121">
        <f>I903</f>
        <v>0</v>
      </c>
      <c r="I903" s="121">
        <v>0</v>
      </c>
      <c r="J903" s="102">
        <v>0</v>
      </c>
      <c r="K903" s="103"/>
      <c r="L903" s="103"/>
      <c r="M903" s="255"/>
      <c r="N903" s="284"/>
    </row>
    <row r="904" spans="1:14" ht="26.1" customHeight="1" x14ac:dyDescent="0.25">
      <c r="A904" s="19"/>
      <c r="B904" s="115"/>
      <c r="C904" s="100"/>
      <c r="D904" s="104">
        <v>2027</v>
      </c>
      <c r="E904" s="102">
        <v>0</v>
      </c>
      <c r="F904" s="102">
        <v>0</v>
      </c>
      <c r="G904" s="121">
        <v>0</v>
      </c>
      <c r="H904" s="121">
        <f>I904</f>
        <v>0</v>
      </c>
      <c r="I904" s="121">
        <v>0</v>
      </c>
      <c r="J904" s="102">
        <v>0</v>
      </c>
      <c r="K904" s="103"/>
      <c r="L904" s="103"/>
      <c r="M904" s="255"/>
      <c r="N904" s="284"/>
    </row>
    <row r="905" spans="1:14" ht="26.1" customHeight="1" x14ac:dyDescent="0.25">
      <c r="A905" s="20" t="s">
        <v>347</v>
      </c>
      <c r="B905" s="106" t="s">
        <v>346</v>
      </c>
      <c r="C905" s="100"/>
      <c r="D905" s="104">
        <v>2018</v>
      </c>
      <c r="E905" s="102">
        <v>0</v>
      </c>
      <c r="F905" s="102">
        <v>0</v>
      </c>
      <c r="G905" s="102">
        <v>0</v>
      </c>
      <c r="H905" s="102">
        <v>0</v>
      </c>
      <c r="I905" s="102">
        <v>0</v>
      </c>
      <c r="J905" s="102">
        <v>0</v>
      </c>
      <c r="K905" s="119" t="s">
        <v>322</v>
      </c>
      <c r="L905" s="220" t="s">
        <v>31</v>
      </c>
      <c r="M905" s="255"/>
      <c r="N905" s="284"/>
    </row>
    <row r="906" spans="1:14" ht="26.1" customHeight="1" x14ac:dyDescent="0.25">
      <c r="A906" s="20"/>
      <c r="B906" s="291"/>
      <c r="C906" s="100"/>
      <c r="D906" s="104">
        <v>2019</v>
      </c>
      <c r="E906" s="102">
        <v>0</v>
      </c>
      <c r="F906" s="102">
        <v>0</v>
      </c>
      <c r="G906" s="102">
        <v>0</v>
      </c>
      <c r="H906" s="102">
        <v>0</v>
      </c>
      <c r="I906" s="102">
        <v>0</v>
      </c>
      <c r="J906" s="102">
        <v>0</v>
      </c>
      <c r="K906" s="103"/>
      <c r="L906" s="149"/>
      <c r="M906" s="255"/>
      <c r="N906" s="284"/>
    </row>
    <row r="907" spans="1:14" ht="26.1" customHeight="1" x14ac:dyDescent="0.25">
      <c r="A907" s="20"/>
      <c r="B907" s="291"/>
      <c r="C907" s="100"/>
      <c r="D907" s="104">
        <v>2020</v>
      </c>
      <c r="E907" s="102">
        <v>0</v>
      </c>
      <c r="F907" s="102">
        <v>0</v>
      </c>
      <c r="G907" s="102">
        <v>0</v>
      </c>
      <c r="H907" s="102">
        <v>0</v>
      </c>
      <c r="I907" s="102">
        <v>0</v>
      </c>
      <c r="J907" s="102">
        <v>0</v>
      </c>
      <c r="K907" s="103"/>
      <c r="L907" s="149"/>
      <c r="M907" s="255"/>
      <c r="N907" s="284"/>
    </row>
    <row r="908" spans="1:14" ht="26.1" customHeight="1" x14ac:dyDescent="0.25">
      <c r="A908" s="20"/>
      <c r="B908" s="291"/>
      <c r="C908" s="100"/>
      <c r="D908" s="104">
        <v>2021</v>
      </c>
      <c r="E908" s="102">
        <v>0</v>
      </c>
      <c r="F908" s="102">
        <v>0</v>
      </c>
      <c r="G908" s="102">
        <v>0</v>
      </c>
      <c r="H908" s="102">
        <v>0</v>
      </c>
      <c r="I908" s="102">
        <v>0</v>
      </c>
      <c r="J908" s="102">
        <v>0</v>
      </c>
      <c r="K908" s="103"/>
      <c r="L908" s="149"/>
      <c r="M908" s="255"/>
      <c r="N908" s="284"/>
    </row>
    <row r="909" spans="1:14" ht="26.1" customHeight="1" x14ac:dyDescent="0.25">
      <c r="A909" s="20"/>
      <c r="B909" s="291"/>
      <c r="C909" s="100"/>
      <c r="D909" s="104">
        <v>2022</v>
      </c>
      <c r="E909" s="102">
        <v>0</v>
      </c>
      <c r="F909" s="102">
        <v>0</v>
      </c>
      <c r="G909" s="102">
        <v>0</v>
      </c>
      <c r="H909" s="102">
        <v>0</v>
      </c>
      <c r="I909" s="102">
        <v>0</v>
      </c>
      <c r="J909" s="102">
        <v>0</v>
      </c>
      <c r="K909" s="103"/>
      <c r="L909" s="149"/>
      <c r="M909" s="255"/>
      <c r="N909" s="284"/>
    </row>
    <row r="910" spans="1:14" ht="26.1" customHeight="1" x14ac:dyDescent="0.25">
      <c r="A910" s="20"/>
      <c r="B910" s="291"/>
      <c r="C910" s="100"/>
      <c r="D910" s="104">
        <v>2023</v>
      </c>
      <c r="E910" s="102">
        <v>0</v>
      </c>
      <c r="F910" s="102">
        <v>0</v>
      </c>
      <c r="G910" s="102">
        <v>0</v>
      </c>
      <c r="H910" s="102">
        <v>0</v>
      </c>
      <c r="I910" s="102">
        <v>0</v>
      </c>
      <c r="J910" s="102">
        <v>0</v>
      </c>
      <c r="K910" s="103"/>
      <c r="L910" s="149"/>
      <c r="M910" s="255"/>
      <c r="N910" s="284"/>
    </row>
    <row r="911" spans="1:14" ht="26.1" customHeight="1" x14ac:dyDescent="0.25">
      <c r="A911" s="20"/>
      <c r="B911" s="291"/>
      <c r="C911" s="100"/>
      <c r="D911" s="104">
        <v>2024</v>
      </c>
      <c r="E911" s="102">
        <v>0</v>
      </c>
      <c r="F911" s="102">
        <v>0</v>
      </c>
      <c r="G911" s="121">
        <v>0</v>
      </c>
      <c r="H911" s="121">
        <v>0</v>
      </c>
      <c r="I911" s="121">
        <v>0</v>
      </c>
      <c r="J911" s="102">
        <v>0</v>
      </c>
      <c r="K911" s="103"/>
      <c r="L911" s="149"/>
      <c r="M911" s="255"/>
      <c r="N911" s="284"/>
    </row>
    <row r="912" spans="1:14" ht="26.1" customHeight="1" x14ac:dyDescent="0.25">
      <c r="A912" s="20"/>
      <c r="B912" s="291"/>
      <c r="C912" s="100"/>
      <c r="D912" s="104">
        <v>2025</v>
      </c>
      <c r="E912" s="102">
        <f>H912</f>
        <v>407.3</v>
      </c>
      <c r="F912" s="102">
        <v>0</v>
      </c>
      <c r="G912" s="121">
        <v>0</v>
      </c>
      <c r="H912" s="121">
        <f>I912</f>
        <v>407.3</v>
      </c>
      <c r="I912" s="121">
        <v>407.3</v>
      </c>
      <c r="J912" s="102">
        <v>0</v>
      </c>
      <c r="K912" s="103"/>
      <c r="L912" s="149"/>
      <c r="M912" s="255"/>
      <c r="N912" s="284"/>
    </row>
    <row r="913" spans="1:14" ht="26.1" customHeight="1" x14ac:dyDescent="0.25">
      <c r="A913" s="20"/>
      <c r="B913" s="291"/>
      <c r="C913" s="100"/>
      <c r="D913" s="104">
        <v>2026</v>
      </c>
      <c r="E913" s="102">
        <v>0</v>
      </c>
      <c r="F913" s="102">
        <v>0</v>
      </c>
      <c r="G913" s="121">
        <v>0</v>
      </c>
      <c r="H913" s="121">
        <f>I913</f>
        <v>0</v>
      </c>
      <c r="I913" s="121">
        <v>0</v>
      </c>
      <c r="J913" s="102">
        <v>0</v>
      </c>
      <c r="K913" s="109"/>
      <c r="L913" s="156"/>
      <c r="M913" s="255"/>
      <c r="N913" s="284"/>
    </row>
    <row r="914" spans="1:14" ht="30.75" customHeight="1" x14ac:dyDescent="0.25">
      <c r="A914" s="22"/>
      <c r="B914" s="291"/>
      <c r="C914" s="107"/>
      <c r="D914" s="104">
        <v>2027</v>
      </c>
      <c r="E914" s="102">
        <v>0</v>
      </c>
      <c r="F914" s="102">
        <v>0</v>
      </c>
      <c r="G914" s="121">
        <v>0</v>
      </c>
      <c r="H914" s="121">
        <f>I914</f>
        <v>0</v>
      </c>
      <c r="I914" s="121">
        <v>0</v>
      </c>
      <c r="J914" s="102">
        <v>0</v>
      </c>
      <c r="K914" s="109"/>
      <c r="L914" s="156"/>
      <c r="M914" s="255"/>
      <c r="N914" s="284"/>
    </row>
    <row r="915" spans="1:14" ht="19.5" x14ac:dyDescent="0.25">
      <c r="A915" s="22" t="s">
        <v>351</v>
      </c>
      <c r="B915" s="106" t="s">
        <v>352</v>
      </c>
      <c r="C915" s="107"/>
      <c r="D915" s="104">
        <v>2018</v>
      </c>
      <c r="E915" s="102">
        <v>0</v>
      </c>
      <c r="F915" s="102">
        <v>0</v>
      </c>
      <c r="G915" s="102">
        <v>0</v>
      </c>
      <c r="H915" s="102">
        <v>0</v>
      </c>
      <c r="I915" s="102">
        <v>0</v>
      </c>
      <c r="J915" s="102">
        <v>0</v>
      </c>
      <c r="K915" s="109" t="s">
        <v>353</v>
      </c>
      <c r="L915" s="103" t="s">
        <v>31</v>
      </c>
      <c r="M915" s="255"/>
      <c r="N915" s="284"/>
    </row>
    <row r="916" spans="1:14" ht="19.5" x14ac:dyDescent="0.25">
      <c r="A916" s="23"/>
      <c r="B916" s="291"/>
      <c r="C916" s="107"/>
      <c r="D916" s="104">
        <v>2019</v>
      </c>
      <c r="E916" s="102">
        <v>0</v>
      </c>
      <c r="F916" s="102">
        <v>0</v>
      </c>
      <c r="G916" s="102">
        <v>0</v>
      </c>
      <c r="H916" s="102">
        <v>0</v>
      </c>
      <c r="I916" s="102">
        <v>0</v>
      </c>
      <c r="J916" s="102">
        <v>0</v>
      </c>
      <c r="K916" s="181"/>
      <c r="L916" s="103"/>
      <c r="M916" s="255"/>
      <c r="N916" s="284"/>
    </row>
    <row r="917" spans="1:14" ht="19.5" x14ac:dyDescent="0.25">
      <c r="A917" s="23"/>
      <c r="B917" s="291"/>
      <c r="C917" s="107"/>
      <c r="D917" s="104">
        <v>2020</v>
      </c>
      <c r="E917" s="102">
        <v>0</v>
      </c>
      <c r="F917" s="102">
        <v>0</v>
      </c>
      <c r="G917" s="102">
        <v>0</v>
      </c>
      <c r="H917" s="102">
        <v>0</v>
      </c>
      <c r="I917" s="102">
        <v>0</v>
      </c>
      <c r="J917" s="102">
        <v>0</v>
      </c>
      <c r="K917" s="181"/>
      <c r="L917" s="103"/>
      <c r="M917" s="255"/>
      <c r="N917" s="284"/>
    </row>
    <row r="918" spans="1:14" ht="19.5" x14ac:dyDescent="0.25">
      <c r="A918" s="23"/>
      <c r="B918" s="291"/>
      <c r="C918" s="107"/>
      <c r="D918" s="104">
        <v>2021</v>
      </c>
      <c r="E918" s="102">
        <v>0</v>
      </c>
      <c r="F918" s="102">
        <v>0</v>
      </c>
      <c r="G918" s="102">
        <v>0</v>
      </c>
      <c r="H918" s="102">
        <v>0</v>
      </c>
      <c r="I918" s="102">
        <v>0</v>
      </c>
      <c r="J918" s="102">
        <v>0</v>
      </c>
      <c r="K918" s="181"/>
      <c r="L918" s="103"/>
      <c r="M918" s="255"/>
      <c r="N918" s="284"/>
    </row>
    <row r="919" spans="1:14" ht="19.5" x14ac:dyDescent="0.25">
      <c r="A919" s="23"/>
      <c r="B919" s="291"/>
      <c r="C919" s="107"/>
      <c r="D919" s="104">
        <v>2022</v>
      </c>
      <c r="E919" s="102">
        <v>0</v>
      </c>
      <c r="F919" s="102">
        <v>0</v>
      </c>
      <c r="G919" s="102">
        <v>0</v>
      </c>
      <c r="H919" s="102">
        <v>0</v>
      </c>
      <c r="I919" s="102">
        <v>0</v>
      </c>
      <c r="J919" s="102">
        <v>0</v>
      </c>
      <c r="K919" s="181"/>
      <c r="L919" s="103"/>
      <c r="M919" s="255"/>
      <c r="N919" s="284"/>
    </row>
    <row r="920" spans="1:14" ht="19.5" x14ac:dyDescent="0.25">
      <c r="A920" s="23"/>
      <c r="B920" s="291"/>
      <c r="C920" s="107"/>
      <c r="D920" s="104">
        <v>2023</v>
      </c>
      <c r="E920" s="102">
        <v>0</v>
      </c>
      <c r="F920" s="102">
        <v>0</v>
      </c>
      <c r="G920" s="102">
        <v>0</v>
      </c>
      <c r="H920" s="102">
        <v>0</v>
      </c>
      <c r="I920" s="102">
        <v>0</v>
      </c>
      <c r="J920" s="102">
        <v>0</v>
      </c>
      <c r="K920" s="181"/>
      <c r="L920" s="103"/>
      <c r="M920" s="255"/>
      <c r="N920" s="284"/>
    </row>
    <row r="921" spans="1:14" ht="19.5" x14ac:dyDescent="0.25">
      <c r="A921" s="23"/>
      <c r="B921" s="291"/>
      <c r="C921" s="107"/>
      <c r="D921" s="104">
        <v>2024</v>
      </c>
      <c r="E921" s="102">
        <f>F921+G921+H921+I921+J921</f>
        <v>729.1</v>
      </c>
      <c r="F921" s="102">
        <v>0</v>
      </c>
      <c r="G921" s="121">
        <f>677.1+52</f>
        <v>729.1</v>
      </c>
      <c r="H921" s="121">
        <v>0</v>
      </c>
      <c r="I921" s="121">
        <v>0</v>
      </c>
      <c r="J921" s="102">
        <v>0</v>
      </c>
      <c r="K921" s="181"/>
      <c r="L921" s="103"/>
      <c r="M921" s="255"/>
      <c r="N921" s="284"/>
    </row>
    <row r="922" spans="1:14" ht="19.5" x14ac:dyDescent="0.25">
      <c r="A922" s="23"/>
      <c r="B922" s="291"/>
      <c r="C922" s="107"/>
      <c r="D922" s="104">
        <v>2025</v>
      </c>
      <c r="E922" s="102">
        <f>H922</f>
        <v>0</v>
      </c>
      <c r="F922" s="102">
        <v>0</v>
      </c>
      <c r="G922" s="121">
        <v>0</v>
      </c>
      <c r="H922" s="121">
        <v>0</v>
      </c>
      <c r="I922" s="121">
        <v>0</v>
      </c>
      <c r="J922" s="102">
        <v>0</v>
      </c>
      <c r="K922" s="181"/>
      <c r="L922" s="103"/>
      <c r="M922" s="255"/>
      <c r="N922" s="284"/>
    </row>
    <row r="923" spans="1:14" ht="24" customHeight="1" x14ac:dyDescent="0.25">
      <c r="A923" s="23"/>
      <c r="B923" s="291"/>
      <c r="C923" s="107"/>
      <c r="D923" s="104">
        <v>2026</v>
      </c>
      <c r="E923" s="102">
        <v>0</v>
      </c>
      <c r="F923" s="102">
        <v>0</v>
      </c>
      <c r="G923" s="121">
        <v>0</v>
      </c>
      <c r="H923" s="121">
        <f>I923</f>
        <v>0</v>
      </c>
      <c r="I923" s="121">
        <v>0</v>
      </c>
      <c r="J923" s="102">
        <v>0</v>
      </c>
      <c r="K923" s="181"/>
      <c r="L923" s="103"/>
      <c r="M923" s="255"/>
      <c r="N923" s="284"/>
    </row>
    <row r="924" spans="1:14" ht="36" customHeight="1" x14ac:dyDescent="0.25">
      <c r="A924" s="19"/>
      <c r="B924" s="115"/>
      <c r="C924" s="107"/>
      <c r="D924" s="104">
        <v>2027</v>
      </c>
      <c r="E924" s="102">
        <v>0</v>
      </c>
      <c r="F924" s="102">
        <v>0</v>
      </c>
      <c r="G924" s="121">
        <v>0</v>
      </c>
      <c r="H924" s="121">
        <f>I924</f>
        <v>0</v>
      </c>
      <c r="I924" s="121">
        <v>0</v>
      </c>
      <c r="J924" s="102">
        <v>0</v>
      </c>
      <c r="K924" s="119"/>
      <c r="L924" s="103"/>
      <c r="M924" s="255"/>
      <c r="N924" s="284"/>
    </row>
    <row r="925" spans="1:14" ht="19.5" customHeight="1" x14ac:dyDescent="0.25">
      <c r="A925" s="15"/>
      <c r="B925" s="292"/>
      <c r="C925" s="293">
        <v>0</v>
      </c>
      <c r="D925" s="294" t="s">
        <v>8</v>
      </c>
      <c r="E925" s="295">
        <f>F925+G925+H925+J925</f>
        <v>21349455.699999988</v>
      </c>
      <c r="F925" s="121">
        <f>F73+F74+F75+F76+F77+F78+F79+F80+F82+F83+F84+F85+F86+F87+F88+F89+F90+F92+F93+F94+F95+F96+F97+F98+F99+F100+F102+F103+F104+F105+F106+F107+F108+F109+F110+F112+F113+F114+F115+F116+F117+F118+F119+F120+F121+F122+F123+F124+F125+F126+F127+F128+F129+F130+F131+F132+F133+F134+F135+F136+F137+F138+F140+F141+F142+F143+F144+F145+F146+F147+F148+F150+F151+F152+F153+F154+F155+F156+F157+F158+F160+F162+F161+F163+F164+F165+F166+F167+F168+F170+F171+F172+F173+F174+F175+F176+F177+F178+F180+F181+F182+F183+F184+F185+F186+F187+F188+F190+F191+F192+F193+F194+F195+F196+F197+F198+F200+F201+F202+F203+F204+F205+F206+F207+F208+F210+F211+F212+F213+F214+F215+F216+F217+F218+F220+F221+F222+F223+F224+F225+F226+F227+F228+F230+F231+F232+F233+F234+F235+F236+F237+F238+F240+F241+F242+F243+F244+F245+F246+F247+F248+F250+F251+F252+F253+F254+F255+F256+F257+F258+F260+F261+F262+F263+F264+F265+F266+F267+F268+F270+F271+F272+F273+F274+F275+F276+F277+F278+F280+F285+F286+F287+F288+F289+F290+F291+F292+F294+F295+F296+F297+F298+F299+F300+F301+F302+F304+F305+F306+F307+F308+F309+F310+F311+F312+F314+F315+F316+F317+F318+F319+F320+F321+F322+F324+F325+F326+F327+F328+F329+F330+F331+F332+F334+F335+F336+F337+F338+F339+F340+F341+F342+F344+F345+F346+F347+F348+F349+F350+F351+F352+F354+F355+F356+F357+F358+F359+F360+F361+F362+F364+F365+F366+F367+F368+F369+F370+F371+F372+F374+F375+F376+F377+F378+F379+F380+F381+F382+F384+F385+F386+F387+F388+F389+F390+F391+F392+F394+F395+F396+F397+F398+F399+F400+F401+F402+F404+F405+F406+F407+F408+F409+F410+F411+F412+F414+F415+F416+F417+F418+F419+F420+F421+F422+F424+F425+F426+F427+F428+F429+F430+F431+F432+F434+F435+F436+F437+F438+F439+F440+F441+F442+F444+F445+F446+F447+F448+F449+F450+F451+F452+F454+F455+F456+F457+F458+F459+F460+F461+F462+F464+F465+F466+F467+F468+F469+F470+F471+F472+F474+F475+F476+F477+F478+F479+F480+F481+F482+F484+F485+F486+F487+F488+F489+F490+F491+F492+F494+F495+F496+F497+F498+F499+F500+F501+F502+F504+F505+F506+F507+F508+F509+F510+F511+F512+F514+F515+F516+F517+F518+F519+F520+F521+F522+F524+F525+F526+F527+F528+F529+F530+F531+F532+F534+F535+F536+F537+F538+F539+F540+F541+F542+F544+F545+F546+F547+F548+F549+F550+F551+F552+F554+F555+F556+F557+F558+F559+F560+F561+F562+F564+F565+F566+F567+F568+F569+F570+F571+F572+F574+F575+F576+F577+F578+F579+F580+F581+F582+F584+F585+F586+F587+F588+F589+F590+F591+F592+F594+F595+F596+F597+F598+F599+F600+F601+F602+F604+F605+F606+F607+F608+F609+F610+F611+F612+F614+F615+F616+F617+F618+F619+F620+F621+F622+F624+F625+F626+F627+F628+F629+F630+F631+F632+F634+F635+F636+F637+F638+F639+F640+F641+F642+F644+F645+F646+F647+F648+F649+F650+F651+F652+F654+F655+F656+F657+F658+F659+F660+F661+F662+F664+F665+F666+F667+F668+F669+F670+F671+F672+F674+F675+F676+F677+F678+F679+F680+F681+F682+F684+F685+F686+F687+F688+F689+F690+F691+F692+F694+F695+F696+F697+F698+F699+F700+F701+F702+F704+F705+F706+F707+F708+F709+F710+F711+F712+F714+F715+F716+F717+F718+F719+F720+F721+F722+F724+F725+F726+F727+F728+F729+F730+F731+F732+F734+F735+F736+F737+F738+F739+F740+F741+F742+F744+F745+F746+F747+F748+F749+F750+F751+F752+F754+F755+F756+F757+F758+F759+F760+F761+F762+F764+F765+F766+F767+F768+F769+F770+F771+F772+F774+F775+F776+F777+F778+F779+F780+F781+F782+F784+F785+F786+F787+F788+F789+F790+F791+F792+F794+F795+F796+F797+F798+F799+F800+F801+F802+F804+F683</f>
        <v>325513</v>
      </c>
      <c r="G925" s="121">
        <f>G83+G84+G85+G86+G87+G88+G89+G90+G92+G98+G99+G100+G102+G161+G162+G163+G164+G165+G166+G167+G168+G170+G176+G177+G178+G180+G325+G326+G337+G338+G339+G340+G341+G342+G344+G345+G346+G347+G348+G349+G350+G351+G352+G354+G355+G356+G357+G358+G359+G360+G361+G362+G364+G405+G406+G407+G408+G409+G410+G411+G412+G414+G415+G416+G421+G422+G424+G429+G431+G432+G434+G465+G466+G467+G468+G469+G470+G471+G472+G474+G515+G516+G517+G518+G519+G520+G521+G522+G524+G555+G559+G561+G562+G564+G566+G571+G572+G574+G576+G581+G582+G584+G587+G588+G589+G590+G591+G592+G594+G596+G601+G602+G604+G607+G611+G612+G614+G626+G627+G631+G632+G634+G667+G668+G669+G670+G671+G672+G674+G687+G691+G692+G694+G739+G740+G741+G742+G744+G749+G750+G751+G752+G754+G759+G760+G761+G762+G764+G770+G771+G772+G774+G780+G781+G782+G784+G763+G753+G743+G673+G473+G413+G363+G353+G343+G179+G101+G91+G921+G169</f>
        <v>13858656.399999993</v>
      </c>
      <c r="H925" s="121">
        <f>H73+H74+H75+H76+H77+H78+H79+H80+H82+H151+H152+H153+H154+H155+H156+H157+H158+H160+H241+H242+H243+H244+H245+H246+H247+H248+H250+H365+H366+H367+H368+H369+H370+H371+H372+H374+H375+H376+H377+H378+H379+H380+H381++H382+H384+H385+H386+H387+H388+H389+H390+H391+H392+H394+H396+H415+H416+H417+H419+H421+H422+H424+H429+H435+H436+H447+H448+H449+H450+H451+H452+H454+H455+H485+H486+H487+H488+H489+H490+H491+H492+H494+H495+H496+H497+H498+H525+H526+H527+H528+H529+H530+H531+H532+H534+H539+H540+H541+H542+H544++H555+H559+H566+H576+H577+H587+H588+H590+H591+H592+H594+H596+H607+H616+H626+H627+H636+H637+H647+H667+H668+H669+H670+H671+H672+H674+H687+H697+H698+H699+H700+H701+H702+H704+H708+H719+H720+H721+H722+H724+H729+H730+H731++H732+H734+H749+H750+H751+H752+H754+H770+H771+H772+H774+H780+H781+H790+H800+H820+H830+H831+H832+H834+H840+H841+H842+H844+H850+H538+H373+H383+H393+H423+H453+H493+H533+H543+H673+H723+H733+H753+H821+H833+H843+H912+H901+H249+H159+H81+H482+H483+H484</f>
        <v>5941636.0999999959</v>
      </c>
      <c r="I925" s="121">
        <f>I415+I416+I429+I555+I559+I566+I576+I587+I588+I590+I591+I592+I596+I607+I626+I627+I667+I668+I669+I670+I671+I672+I673+I674+I687+I749+I750+I751+I752+I753+I754+I770+I781+I780+I912</f>
        <v>111060.7</v>
      </c>
      <c r="J925" s="121">
        <f>J141+J142+J143+J144+J145+J146+J147+J148+J149+J150+J231+J232+J233+J234+J235+J236+J237+J238+J239+J240</f>
        <v>1223650.1999999997</v>
      </c>
      <c r="K925" s="104"/>
      <c r="L925" s="104"/>
      <c r="M925" s="255">
        <f>I811+I781+I780+I770+I754+I752+I751+I750+I749+I687+I674+I672+I671+I670+I669+I668+I667+I627+I626+I607+I596+I591+I590+I588+I587+I576+I566+I559+I555+I429+I416+I415</f>
        <v>92966.200000000012</v>
      </c>
    </row>
    <row r="926" spans="1:14" ht="20.25" thickBot="1" x14ac:dyDescent="0.35">
      <c r="A926" s="296">
        <v>5</v>
      </c>
      <c r="B926" s="297" t="s">
        <v>341</v>
      </c>
      <c r="C926" s="298"/>
      <c r="D926" s="298"/>
      <c r="E926" s="298"/>
      <c r="F926" s="298"/>
      <c r="G926" s="298"/>
      <c r="H926" s="298"/>
      <c r="I926" s="298"/>
      <c r="J926" s="298"/>
      <c r="K926" s="298"/>
      <c r="L926" s="299"/>
      <c r="M926" s="255" t="e">
        <f>#REF!-H925</f>
        <v>#REF!</v>
      </c>
    </row>
    <row r="927" spans="1:14" ht="27.75" customHeight="1" thickBot="1" x14ac:dyDescent="0.3">
      <c r="A927" s="300" t="s">
        <v>168</v>
      </c>
      <c r="B927" s="301"/>
      <c r="C927" s="301"/>
      <c r="D927" s="301"/>
      <c r="E927" s="301"/>
      <c r="F927" s="301"/>
      <c r="G927" s="301"/>
      <c r="H927" s="301"/>
      <c r="I927" s="301"/>
      <c r="J927" s="301"/>
      <c r="K927" s="301"/>
      <c r="L927" s="302"/>
      <c r="M927" s="255">
        <f>M928-G925</f>
        <v>-1458369.2999999914</v>
      </c>
    </row>
    <row r="928" spans="1:14" ht="24.95" customHeight="1" x14ac:dyDescent="0.25">
      <c r="A928" s="37" t="s">
        <v>169</v>
      </c>
      <c r="B928" s="250" t="s">
        <v>170</v>
      </c>
      <c r="C928" s="303">
        <v>0</v>
      </c>
      <c r="D928" s="143">
        <v>2018</v>
      </c>
      <c r="E928" s="144">
        <f>F928+G928+H928+J928</f>
        <v>35153.1</v>
      </c>
      <c r="F928" s="144">
        <v>0</v>
      </c>
      <c r="G928" s="144">
        <v>8142.6</v>
      </c>
      <c r="H928" s="144">
        <v>27010.5</v>
      </c>
      <c r="I928" s="144">
        <v>0</v>
      </c>
      <c r="J928" s="144">
        <v>0</v>
      </c>
      <c r="K928" s="178" t="s">
        <v>171</v>
      </c>
      <c r="L928" s="179" t="s">
        <v>172</v>
      </c>
      <c r="M928" s="255">
        <f>SUM(G705:G752,G655:G702,G605:G652,G555:G602,G495:G552,G445:G492,G395:G442,G345:G392,G285:G342,G211:G268,G161:G208,G103:G148,G83:G90)</f>
        <v>12400287.100000001</v>
      </c>
    </row>
    <row r="929" spans="1:13" ht="24.95" customHeight="1" x14ac:dyDescent="0.25">
      <c r="A929" s="38"/>
      <c r="B929" s="251"/>
      <c r="C929" s="104">
        <v>0</v>
      </c>
      <c r="D929" s="101">
        <v>2019</v>
      </c>
      <c r="E929" s="102">
        <f t="shared" ref="E929:E945" si="99">F929+G929+H929+J929</f>
        <v>38169.300000000003</v>
      </c>
      <c r="F929" s="102">
        <v>0</v>
      </c>
      <c r="G929" s="102">
        <v>8689.5</v>
      </c>
      <c r="H929" s="102">
        <v>29479.8</v>
      </c>
      <c r="I929" s="102">
        <v>0</v>
      </c>
      <c r="J929" s="102">
        <v>0</v>
      </c>
      <c r="K929" s="181"/>
      <c r="L929" s="182"/>
      <c r="M929" s="57"/>
    </row>
    <row r="930" spans="1:13" ht="24.95" customHeight="1" x14ac:dyDescent="0.25">
      <c r="A930" s="38"/>
      <c r="B930" s="251"/>
      <c r="C930" s="104">
        <v>0</v>
      </c>
      <c r="D930" s="104">
        <v>2020</v>
      </c>
      <c r="E930" s="102">
        <f t="shared" si="99"/>
        <v>42060.7</v>
      </c>
      <c r="F930" s="120">
        <v>0</v>
      </c>
      <c r="G930" s="102">
        <v>10752.9</v>
      </c>
      <c r="H930" s="102">
        <v>31307.8</v>
      </c>
      <c r="I930" s="102">
        <v>0</v>
      </c>
      <c r="J930" s="102">
        <v>0</v>
      </c>
      <c r="K930" s="181"/>
      <c r="L930" s="182"/>
      <c r="M930" s="57"/>
    </row>
    <row r="931" spans="1:13" ht="24.95" customHeight="1" x14ac:dyDescent="0.25">
      <c r="A931" s="38"/>
      <c r="B931" s="251"/>
      <c r="C931" s="293">
        <v>0</v>
      </c>
      <c r="D931" s="104">
        <v>2021</v>
      </c>
      <c r="E931" s="102">
        <f t="shared" si="99"/>
        <v>43966.7</v>
      </c>
      <c r="F931" s="120">
        <v>0</v>
      </c>
      <c r="G931" s="102">
        <v>13600.6</v>
      </c>
      <c r="H931" s="102">
        <v>30366.1</v>
      </c>
      <c r="I931" s="102">
        <v>0</v>
      </c>
      <c r="J931" s="102">
        <v>0</v>
      </c>
      <c r="K931" s="181"/>
      <c r="L931" s="182"/>
      <c r="M931" s="57"/>
    </row>
    <row r="932" spans="1:13" ht="24.95" customHeight="1" x14ac:dyDescent="0.25">
      <c r="A932" s="38"/>
      <c r="B932" s="251"/>
      <c r="C932" s="293">
        <v>0</v>
      </c>
      <c r="D932" s="104">
        <v>2022</v>
      </c>
      <c r="E932" s="102">
        <f t="shared" si="99"/>
        <v>50085</v>
      </c>
      <c r="F932" s="120">
        <v>0</v>
      </c>
      <c r="G932" s="102">
        <f>13383.8+35.2+849+134.9+461.4</f>
        <v>14864.3</v>
      </c>
      <c r="H932" s="102">
        <v>35220.699999999997</v>
      </c>
      <c r="I932" s="102">
        <v>0</v>
      </c>
      <c r="J932" s="102">
        <v>0</v>
      </c>
      <c r="K932" s="181"/>
      <c r="L932" s="182"/>
      <c r="M932" s="57"/>
    </row>
    <row r="933" spans="1:13" ht="24.95" customHeight="1" x14ac:dyDescent="0.25">
      <c r="A933" s="38"/>
      <c r="B933" s="251"/>
      <c r="C933" s="293">
        <v>0</v>
      </c>
      <c r="D933" s="104">
        <v>2023</v>
      </c>
      <c r="E933" s="102">
        <f t="shared" si="99"/>
        <v>52728.9</v>
      </c>
      <c r="F933" s="120">
        <v>0</v>
      </c>
      <c r="G933" s="102">
        <f>15525.3+25.6+24.1</f>
        <v>15575</v>
      </c>
      <c r="H933" s="102">
        <f>36821.5+332.4</f>
        <v>37153.9</v>
      </c>
      <c r="I933" s="102">
        <v>0</v>
      </c>
      <c r="J933" s="102">
        <v>0</v>
      </c>
      <c r="K933" s="181"/>
      <c r="L933" s="182"/>
      <c r="M933" s="57"/>
    </row>
    <row r="934" spans="1:13" ht="24.95" customHeight="1" x14ac:dyDescent="0.25">
      <c r="A934" s="38"/>
      <c r="B934" s="251"/>
      <c r="C934" s="293">
        <v>0</v>
      </c>
      <c r="D934" s="104">
        <v>2024</v>
      </c>
      <c r="E934" s="102">
        <f t="shared" si="99"/>
        <v>71275.199999999997</v>
      </c>
      <c r="F934" s="120">
        <v>0</v>
      </c>
      <c r="G934" s="102">
        <f>16939.6+246-723+2449.4</f>
        <v>18912</v>
      </c>
      <c r="H934" s="121">
        <f>40756.1+6454+1894.9+3258.2</f>
        <v>52363.199999999997</v>
      </c>
      <c r="I934" s="102">
        <v>0</v>
      </c>
      <c r="J934" s="102">
        <v>0</v>
      </c>
      <c r="K934" s="181"/>
      <c r="L934" s="182"/>
      <c r="M934" s="57"/>
    </row>
    <row r="935" spans="1:13" ht="24.95" customHeight="1" x14ac:dyDescent="0.25">
      <c r="A935" s="38"/>
      <c r="B935" s="251"/>
      <c r="C935" s="304">
        <v>0</v>
      </c>
      <c r="D935" s="104">
        <v>2025</v>
      </c>
      <c r="E935" s="102">
        <f t="shared" si="99"/>
        <v>87220.4</v>
      </c>
      <c r="F935" s="120">
        <v>0</v>
      </c>
      <c r="G935" s="102">
        <f>23749.5</f>
        <v>23749.5</v>
      </c>
      <c r="H935" s="121">
        <v>63470.9</v>
      </c>
      <c r="I935" s="102">
        <v>0</v>
      </c>
      <c r="J935" s="102">
        <v>0</v>
      </c>
      <c r="K935" s="181"/>
      <c r="L935" s="182"/>
      <c r="M935" s="255">
        <f>SUM(H928:H945,H705:H752,H655:H702,H605:H652,H555:H602,H495:H552,H445:H492,H395:H442,H345:H392,H325:H342,H241:H248,H151:H158,H73:H80,H59:H66,H45:H52,H35:H42)</f>
        <v>5028168.8000000007</v>
      </c>
    </row>
    <row r="936" spans="1:13" ht="24.95" customHeight="1" x14ac:dyDescent="0.25">
      <c r="A936" s="38"/>
      <c r="B936" s="251"/>
      <c r="C936" s="305"/>
      <c r="D936" s="306">
        <v>2026</v>
      </c>
      <c r="E936" s="154">
        <f>F936+G936+H936+J936</f>
        <v>91922.5</v>
      </c>
      <c r="F936" s="157">
        <v>0</v>
      </c>
      <c r="G936" s="154">
        <f>25199.3</f>
        <v>25199.3</v>
      </c>
      <c r="H936" s="155">
        <v>66723.199999999997</v>
      </c>
      <c r="I936" s="154">
        <v>0</v>
      </c>
      <c r="J936" s="307">
        <v>0</v>
      </c>
      <c r="K936" s="181"/>
      <c r="L936" s="182"/>
      <c r="M936" s="255"/>
    </row>
    <row r="937" spans="1:13" ht="24.95" customHeight="1" thickBot="1" x14ac:dyDescent="0.3">
      <c r="A937" s="39"/>
      <c r="B937" s="254"/>
      <c r="C937" s="308"/>
      <c r="D937" s="122">
        <v>2027</v>
      </c>
      <c r="E937" s="201">
        <f t="shared" si="99"/>
        <v>93164.7</v>
      </c>
      <c r="F937" s="202">
        <v>0</v>
      </c>
      <c r="G937" s="201">
        <f>26441.5</f>
        <v>26441.5</v>
      </c>
      <c r="H937" s="203">
        <v>66723.199999999997</v>
      </c>
      <c r="I937" s="201">
        <v>0</v>
      </c>
      <c r="J937" s="201">
        <v>0</v>
      </c>
      <c r="K937" s="184"/>
      <c r="L937" s="185"/>
      <c r="M937" s="255"/>
    </row>
    <row r="938" spans="1:13" ht="23.1" customHeight="1" x14ac:dyDescent="0.25">
      <c r="A938" s="37" t="s">
        <v>16</v>
      </c>
      <c r="B938" s="250" t="s">
        <v>17</v>
      </c>
      <c r="C938" s="309">
        <v>0</v>
      </c>
      <c r="D938" s="310">
        <v>2018</v>
      </c>
      <c r="E938" s="144">
        <f t="shared" si="99"/>
        <v>8798.2999999999993</v>
      </c>
      <c r="F938" s="144">
        <v>0</v>
      </c>
      <c r="G938" s="144">
        <v>0</v>
      </c>
      <c r="H938" s="144">
        <v>8798.2999999999993</v>
      </c>
      <c r="I938" s="144">
        <v>0</v>
      </c>
      <c r="J938" s="311">
        <v>0</v>
      </c>
      <c r="K938" s="312" t="s">
        <v>18</v>
      </c>
      <c r="L938" s="179" t="s">
        <v>19</v>
      </c>
      <c r="M938" s="57"/>
    </row>
    <row r="939" spans="1:13" ht="23.1" customHeight="1" x14ac:dyDescent="0.25">
      <c r="A939" s="38"/>
      <c r="B939" s="251"/>
      <c r="C939" s="313">
        <v>0</v>
      </c>
      <c r="D939" s="314">
        <v>2019</v>
      </c>
      <c r="E939" s="102">
        <f t="shared" si="99"/>
        <v>8535.7000000000007</v>
      </c>
      <c r="F939" s="102">
        <v>0</v>
      </c>
      <c r="G939" s="102">
        <v>0</v>
      </c>
      <c r="H939" s="102">
        <v>8535.7000000000007</v>
      </c>
      <c r="I939" s="102">
        <v>0</v>
      </c>
      <c r="J939" s="315">
        <v>0</v>
      </c>
      <c r="K939" s="316"/>
      <c r="L939" s="182"/>
      <c r="M939" s="57"/>
    </row>
    <row r="940" spans="1:13" ht="23.1" customHeight="1" x14ac:dyDescent="0.25">
      <c r="A940" s="38"/>
      <c r="B940" s="251"/>
      <c r="C940" s="313">
        <v>0</v>
      </c>
      <c r="D940" s="317">
        <v>2020</v>
      </c>
      <c r="E940" s="102">
        <f t="shared" si="99"/>
        <v>9713.2000000000007</v>
      </c>
      <c r="F940" s="120">
        <v>0</v>
      </c>
      <c r="G940" s="102">
        <v>1315.2</v>
      </c>
      <c r="H940" s="102">
        <v>8398</v>
      </c>
      <c r="I940" s="102">
        <v>0</v>
      </c>
      <c r="J940" s="315">
        <v>0</v>
      </c>
      <c r="K940" s="316"/>
      <c r="L940" s="182"/>
      <c r="M940" s="57"/>
    </row>
    <row r="941" spans="1:13" ht="23.1" customHeight="1" x14ac:dyDescent="0.25">
      <c r="A941" s="38"/>
      <c r="B941" s="251"/>
      <c r="C941" s="318">
        <v>0</v>
      </c>
      <c r="D941" s="317">
        <v>2021</v>
      </c>
      <c r="E941" s="102">
        <f t="shared" si="99"/>
        <v>9083.2000000000007</v>
      </c>
      <c r="F941" s="120">
        <v>0</v>
      </c>
      <c r="G941" s="102">
        <v>500</v>
      </c>
      <c r="H941" s="102">
        <v>8583.2000000000007</v>
      </c>
      <c r="I941" s="102">
        <v>0</v>
      </c>
      <c r="J941" s="315">
        <v>0</v>
      </c>
      <c r="K941" s="316"/>
      <c r="L941" s="182"/>
      <c r="M941" s="57"/>
    </row>
    <row r="942" spans="1:13" ht="23.1" customHeight="1" x14ac:dyDescent="0.25">
      <c r="A942" s="38"/>
      <c r="B942" s="251"/>
      <c r="C942" s="318">
        <v>0</v>
      </c>
      <c r="D942" s="317">
        <v>2022</v>
      </c>
      <c r="E942" s="102">
        <f t="shared" si="99"/>
        <v>11250.300000000001</v>
      </c>
      <c r="F942" s="120">
        <v>0</v>
      </c>
      <c r="G942" s="102">
        <f>1000-134.9</f>
        <v>865.1</v>
      </c>
      <c r="H942" s="102">
        <f>10395.2-3.7-6.3</f>
        <v>10385.200000000001</v>
      </c>
      <c r="I942" s="102">
        <v>0</v>
      </c>
      <c r="J942" s="315">
        <v>0</v>
      </c>
      <c r="K942" s="316"/>
      <c r="L942" s="182"/>
      <c r="M942" s="57"/>
    </row>
    <row r="943" spans="1:13" ht="23.1" customHeight="1" x14ac:dyDescent="0.25">
      <c r="A943" s="38"/>
      <c r="B943" s="251"/>
      <c r="C943" s="318">
        <v>0</v>
      </c>
      <c r="D943" s="317">
        <v>2023</v>
      </c>
      <c r="E943" s="102">
        <f t="shared" si="99"/>
        <v>12075.599999999999</v>
      </c>
      <c r="F943" s="120">
        <v>0</v>
      </c>
      <c r="G943" s="102">
        <f>1314.2+3.7-24.5</f>
        <v>1293.4000000000001</v>
      </c>
      <c r="H943" s="102">
        <f>10681.8+100.4</f>
        <v>10782.199999999999</v>
      </c>
      <c r="I943" s="102">
        <v>0</v>
      </c>
      <c r="J943" s="315">
        <v>0</v>
      </c>
      <c r="K943" s="316"/>
      <c r="L943" s="182"/>
      <c r="M943" s="57"/>
    </row>
    <row r="944" spans="1:13" ht="23.1" customHeight="1" x14ac:dyDescent="0.25">
      <c r="A944" s="38"/>
      <c r="B944" s="251"/>
      <c r="C944" s="318">
        <v>0</v>
      </c>
      <c r="D944" s="317">
        <v>2024</v>
      </c>
      <c r="E944" s="102">
        <f t="shared" si="99"/>
        <v>16620.400000000001</v>
      </c>
      <c r="F944" s="120">
        <v>0</v>
      </c>
      <c r="G944" s="102">
        <f>1527.5+200-307.2+211.6</f>
        <v>1631.8999999999999</v>
      </c>
      <c r="H944" s="121">
        <f>13790.9+1197.6</f>
        <v>14988.5</v>
      </c>
      <c r="I944" s="102">
        <v>0</v>
      </c>
      <c r="J944" s="315">
        <v>0</v>
      </c>
      <c r="K944" s="316"/>
      <c r="L944" s="182"/>
      <c r="M944" s="57"/>
    </row>
    <row r="945" spans="1:13" ht="23.1" customHeight="1" thickBot="1" x14ac:dyDescent="0.3">
      <c r="A945" s="38"/>
      <c r="B945" s="251"/>
      <c r="C945" s="319">
        <v>0</v>
      </c>
      <c r="D945" s="317">
        <v>2025</v>
      </c>
      <c r="E945" s="102">
        <f t="shared" si="99"/>
        <v>21125.8</v>
      </c>
      <c r="F945" s="120">
        <v>0</v>
      </c>
      <c r="G945" s="102">
        <f>1318.5</f>
        <v>1318.5</v>
      </c>
      <c r="H945" s="121">
        <f>19807.3</f>
        <v>19807.3</v>
      </c>
      <c r="I945" s="102">
        <v>0</v>
      </c>
      <c r="J945" s="315">
        <v>0</v>
      </c>
      <c r="K945" s="316"/>
      <c r="L945" s="182"/>
      <c r="M945" s="57"/>
    </row>
    <row r="946" spans="1:13" ht="23.1" customHeight="1" x14ac:dyDescent="0.25">
      <c r="A946" s="38"/>
      <c r="B946" s="251"/>
      <c r="C946" s="320"/>
      <c r="D946" s="306">
        <v>2026</v>
      </c>
      <c r="E946" s="154">
        <f>F946+G946+H946+J946</f>
        <v>22112</v>
      </c>
      <c r="F946" s="157">
        <v>0</v>
      </c>
      <c r="G946" s="154">
        <f>1454.1</f>
        <v>1454.1</v>
      </c>
      <c r="H946" s="155">
        <f>20657.9</f>
        <v>20657.900000000001</v>
      </c>
      <c r="I946" s="154">
        <v>0</v>
      </c>
      <c r="J946" s="307">
        <v>0</v>
      </c>
      <c r="K946" s="316"/>
      <c r="L946" s="182"/>
      <c r="M946" s="57"/>
    </row>
    <row r="947" spans="1:13" ht="23.1" customHeight="1" thickBot="1" x14ac:dyDescent="0.3">
      <c r="A947" s="39"/>
      <c r="B947" s="254"/>
      <c r="C947" s="321"/>
      <c r="D947" s="322">
        <v>2027</v>
      </c>
      <c r="E947" s="201">
        <f>F947+G947+H947+J947</f>
        <v>22262.800000000003</v>
      </c>
      <c r="F947" s="202">
        <v>0</v>
      </c>
      <c r="G947" s="201">
        <f>1604.9</f>
        <v>1604.9</v>
      </c>
      <c r="H947" s="203">
        <f>20657.9</f>
        <v>20657.900000000001</v>
      </c>
      <c r="I947" s="201">
        <v>0</v>
      </c>
      <c r="J947" s="323">
        <v>0</v>
      </c>
      <c r="K947" s="324"/>
      <c r="L947" s="185"/>
      <c r="M947" s="57"/>
    </row>
    <row r="948" spans="1:13" s="198" customFormat="1" ht="23.1" customHeight="1" thickBot="1" x14ac:dyDescent="0.3">
      <c r="A948" s="50"/>
      <c r="B948" s="325"/>
      <c r="C948" s="326"/>
      <c r="D948" s="327" t="s">
        <v>8</v>
      </c>
      <c r="E948" s="328">
        <f>F948+G948+H948+J948</f>
        <v>747323.8</v>
      </c>
      <c r="F948" s="328">
        <f>SUM(F928:F947)</f>
        <v>0</v>
      </c>
      <c r="G948" s="328">
        <f>SUM(G928:G947)</f>
        <v>175910.3</v>
      </c>
      <c r="H948" s="328">
        <f>SUM(H928:H947)</f>
        <v>571413.50000000012</v>
      </c>
      <c r="I948" s="328">
        <f>SUM(I928:I947)</f>
        <v>0</v>
      </c>
      <c r="J948" s="329">
        <f>SUM(J928:J947)</f>
        <v>0</v>
      </c>
      <c r="K948" s="330"/>
      <c r="L948" s="331"/>
      <c r="M948" s="197"/>
    </row>
    <row r="949" spans="1:13" ht="23.1" customHeight="1" x14ac:dyDescent="0.25">
      <c r="A949" s="332"/>
      <c r="B949" s="333" t="s">
        <v>8</v>
      </c>
      <c r="C949" s="334">
        <v>0</v>
      </c>
      <c r="D949" s="292">
        <v>2018</v>
      </c>
      <c r="E949" s="261">
        <f>F949+G949+H949+J949</f>
        <v>1360508.6999999997</v>
      </c>
      <c r="F949" s="261">
        <f>F11+F21+F35+F45+F59+F73+F83+F103+F113+F122+F141+F151+F161+F181+F191+F201+F211+F221+F231+F241+F251+F261+F285+F295+F305+F315+F325+F335+F345+F355+F365+F375+F385+F395+F405+F415+F425+F435+F445+F455+F465+F475+F485+F495+F505+F515+F525+F535+F545+F555+F565+F575+F585+F595+F605+F615+F625+F635+F645+F655+F665+F675+F685+F695+F705+F715+F725+F735+F745+F928+F938</f>
        <v>0</v>
      </c>
      <c r="G949" s="261">
        <f>G11+G21+G35+G45+G59+G73+G103+G113+G122+G141+G151+G181+G191+G201+G211+G221+G231+G241+G251+G261+G285+G295+G305+G315+G325+G335+G345+G355+G365+G375+G385+G395+G405+G415+G425+G435+G445+G455+G465+G475+G485+G495+G505+G515+G525+G535+G545+G555+G565+G575+G585+G595+G605+G615+G625+G635+G645+G655+G665+G675+G685+G695+G705+G715+G725+G735+G745+G928+G938</f>
        <v>925161.59999999986</v>
      </c>
      <c r="H949" s="261">
        <f>H11+H21+H35+H45+H59+H83+H103+H113+H122+H141+H161+H181+H191+H201+H211+H221+H231+H251+H261+H285+H295+H305+H315+H325+H335+H345+H355+H365+H375+H385+H395+H405+H415+H425+H435+H445+H455+H465+H475+H485+H495+H505+H515+H525+H535+H545+H555+H565+H575+H585+H595+H605+H615+H625+H635+H645+H655+H665+H675+H685+H695+H705+H715+H725+H735+H745+H928+H938+H131</f>
        <v>337545.1</v>
      </c>
      <c r="I949" s="261">
        <f t="shared" ref="I949:J952" si="100">I11+I21+I35+I45+I59+I73+I83+I103+I113+I122+I141+I151+I161+I181+I191+I201+I211+I221+I231+I241+I251+I261+I285+I295+I305+I315+I325+I335+I345+I355+I365+I375+I385+I395+I405+I415+I425+I435+I445+I455+I465+I475+I485+I495+I505+I515+I525+I535+I545+I555+I565+I575+I585+I595+I605+I615+I625+I635+I645+I655+I665+I675+I685+I695+I705+I715+I725+I735+I745+I928+I938</f>
        <v>7682.5</v>
      </c>
      <c r="J949" s="335">
        <f t="shared" si="100"/>
        <v>97802</v>
      </c>
      <c r="K949" s="336"/>
      <c r="L949" s="336"/>
      <c r="M949" s="57"/>
    </row>
    <row r="950" spans="1:13" ht="23.1" customHeight="1" x14ac:dyDescent="0.25">
      <c r="A950" s="337"/>
      <c r="B950" s="333"/>
      <c r="C950" s="334">
        <v>0</v>
      </c>
      <c r="D950" s="338">
        <v>2019</v>
      </c>
      <c r="E950" s="261">
        <f t="shared" ref="E950:E956" si="101">F950+G950+H950+J950</f>
        <v>1445064.3</v>
      </c>
      <c r="F950" s="261">
        <f>F12+F22+F36+F46+F60+F74+F84+F104+F114+F123+F142+F152+F162+F182+F192+F202+F212+F222+F232+F242+F252+F262+F286+F296+F306+F316+F326+F336+F346+F356+F366+F376+F386+F396+F406+F416+F426+F436+F446+F456+F466+F476+F486+F496+F506+F516+F526+F536+F546+F556+F566+F576+F586+F596+F606+F616+F626+F636+F646+F656+F666+F676+F686+F696+F706+F716+F726+F736+F746+F929+F939</f>
        <v>0</v>
      </c>
      <c r="G950" s="339">
        <f>G12+G22+G36+G46+G60+G74+G104+G114+G123+G142+G152+G182+G192+G202+G212+G222+G232+G242+G252+G262+G286+G296+G306+G316+G326+G336+G346+G356+G366+G376+G386+G396+G406+G416+G426+G436+G446+G456+G466+G476+G486+G496+G506+G516+G526+G536+G546+G556+G566+G576+G586+G596+G606+G616+G626+G636+G646+G656+G666+G676+G686+G696+G706+G716+G726+G736+G746+G929+G939</f>
        <v>980217.20000000007</v>
      </c>
      <c r="H950" s="339">
        <f>H12+H22+H36+H46+H60+H84+H104+H114+H123+H142+H162+H182+H192+H202+H212+H222+H232+H252+H262+H286+H296+H306+H316+H326+H336+H346+H356+H366+H376+H386+H396+H406+H416+H426+H436+H446+H456+H466+H476+H486+H496+H506+H516+H526+H536+H546+H556+H566+H576+H586+H596+H606+H616+H626+H636+H646+H656+H666+H676+H686+H696+H706+H716+H726+H736+H746+H929+H939+H132</f>
        <v>366465.8</v>
      </c>
      <c r="I950" s="261">
        <f t="shared" si="100"/>
        <v>7418.3000000000011</v>
      </c>
      <c r="J950" s="335">
        <f t="shared" si="100"/>
        <v>98381.3</v>
      </c>
      <c r="K950" s="336"/>
      <c r="L950" s="336"/>
      <c r="M950" s="57"/>
    </row>
    <row r="951" spans="1:13" ht="23.1" customHeight="1" x14ac:dyDescent="0.25">
      <c r="A951" s="337"/>
      <c r="B951" s="333"/>
      <c r="C951" s="334">
        <v>0</v>
      </c>
      <c r="D951" s="338">
        <v>2020</v>
      </c>
      <c r="E951" s="261">
        <f t="shared" si="101"/>
        <v>1553533.6999999997</v>
      </c>
      <c r="F951" s="261">
        <f>F13+F23+F37+F47+F61+F75+F85+F105+F115+F124+F143+F153+F163+F183+F193+F203+F213+F223+F233+F243+F253+F263+F287+F297+F307+F317+F327+F337+F347+F357+F367+F377+F387+F397+F407+F417+F427+F437+F447+F457+F467+F477+F487+F497+F507+F517+F527+F537+F547+F557+F567+F577+F587+F597+F607+F617+F627+F637+F647+F657+F667+F677+F687+F697+F707+F717+F727+F737+F747+F930+F940</f>
        <v>15103.2</v>
      </c>
      <c r="G951" s="339">
        <f>G13+G23+G37+G47+G61+G75+G105+G115+G124+G143+G153+G183+G193+G203+G213+G223+G233+G243+G253+G263+G287+G297+G307+G317+G327+G337+G347+G357+G367+G377+G387+G397+G407+G417+G427+G437+G447+G457+G467+G477+G487+G497+G507+G517+G527+G537+G547+G557+G567+G577+G587+G597+G607+G617+G627+G637+G647+G657+G667+G677+G687+G697+G707+G717+G727+G737+G747+G930+G940</f>
        <v>1048260.6999999998</v>
      </c>
      <c r="H951" s="339">
        <f>H13+H23+H37+H47+H61+H85+H105+H115+H124+H143+H163+H183+H193+H203+H213+H223+H233+H253+H263+H287+H297+H307+H317+H327+H337+H347+H357+H367+H377+H387+H397+H407+H417+H427+H437+H447+H457+H467+H477+H487+H497+H507+H517+H527+H537+H547+H557+H567+H577+H587+H597+H607+H617+H627+H637+H647+H657+H667+H677+H687+H697+H707+H717+H727+H737+H747+H930+H940+H133</f>
        <v>378600.89999999991</v>
      </c>
      <c r="I951" s="261">
        <f t="shared" si="100"/>
        <v>4346.3</v>
      </c>
      <c r="J951" s="335">
        <f t="shared" si="100"/>
        <v>111568.9</v>
      </c>
      <c r="K951" s="336"/>
      <c r="L951" s="336"/>
      <c r="M951" s="57"/>
    </row>
    <row r="952" spans="1:13" ht="23.1" customHeight="1" x14ac:dyDescent="0.25">
      <c r="A952" s="337"/>
      <c r="B952" s="333"/>
      <c r="C952" s="334">
        <v>0</v>
      </c>
      <c r="D952" s="338">
        <v>2021</v>
      </c>
      <c r="E952" s="261">
        <f t="shared" si="101"/>
        <v>1756160.3</v>
      </c>
      <c r="F952" s="261">
        <f>F14+F24+F38+F48+F62+F76+F86+F106+F116+F125+F144+F154+F164+F184+F194+F204+F214+F224+F234+F244+F254+F264+F288+F298+F308+F318+F328+F338+F348+F358+F368+F378+F388+F398+F408+F418+F428+F438+F448+F458+F468+F478+F488+F498+F508+F518+F528+F538+F548+F558+F568+F578+F588+F598+F608+F618+F628+F638+F648+F658+F668+F678+F688+F698+F708+F718+F728+F738+F748+F931+F941</f>
        <v>45309.599999999999</v>
      </c>
      <c r="G952" s="339">
        <f>G14+G24+G38+G48+G62+G76+G106+G116+G125+G144+G154+G184+G194+G204+G214+G224+G234+G244+G254+G264+G288+G298+G308+G318+G328+G338+G348+G358+G368+G378+G388+G398+G408+G418+G428+G438+G448+G458+G468+G478+G488+G498+G508+G518+G528+G538+G548+G558+G568+G578+G588+G598+G608+G618+G628+G638+G648+G658+G668+G678+G688+G698+G708+G718+G728+G738+G748+G931+G941</f>
        <v>1116904.6000000001</v>
      </c>
      <c r="H952" s="339">
        <f>H14+H24+H38+H48+H62+H86+H106+H116+H125+H144+H164+H184+H194+H204+H214+H224+H234+H254+H264+H288+H298+H308+H318+H328+H338+H348+H358+H368+H378+H388+H398+H408+H418+H428+H438+H448+H458+H468+H478+H488+H498+H508+H518+H528+H538+H548+H558+H568+H578+H588+H598+H608+H618+H628+H638+H648+H658+H668+H678+H688+H698+H708+H718+H728+H738+H748+H931+H941+H134</f>
        <v>501978.6999999999</v>
      </c>
      <c r="I952" s="261">
        <f t="shared" si="100"/>
        <v>7095.5</v>
      </c>
      <c r="J952" s="335">
        <f t="shared" si="100"/>
        <v>91967.4</v>
      </c>
      <c r="K952" s="336"/>
      <c r="L952" s="336"/>
      <c r="M952" s="57"/>
    </row>
    <row r="953" spans="1:13" ht="23.1" customHeight="1" x14ac:dyDescent="0.3">
      <c r="A953" s="337"/>
      <c r="B953" s="333"/>
      <c r="C953" s="340">
        <v>0</v>
      </c>
      <c r="D953" s="341">
        <v>2022</v>
      </c>
      <c r="E953" s="261">
        <f t="shared" si="101"/>
        <v>1942154.1</v>
      </c>
      <c r="F953" s="261">
        <f>F15+F25+F39+F49+F63+F77+F87+F107+F117+F126+F145+F155+F165+F185+F195+F205+F215+F225+F235+F245+F255+F265+F289+F299+F309+F319+F329+F339+F349+F359+F369+F379+F389+F399+F409+F419+F429+F439+F449+F459+F469+F479+F489+F499+F509+F519+F529+F539+F549+F559+F569+F579+F589+F599+F609+F619+F629+F639+F649+F659+F669+F679+F689+F699+F709+F719+F729+F739+F749+F932+F942</f>
        <v>45544</v>
      </c>
      <c r="G953" s="339">
        <f>G15+G25+G39+G49+G63+G77+G107+G117+G126+G145+G155+G185+G195+G205+G215+G225+G235+G245+G255+G265+G289+G299+G309+G319+G329+G339+G349+G359+G369+G379+G389+G399+G409+G419+G429+G439+G449+G459+G469+G479+G489+G499+G509+G519+G529+G539+G549+G559+G569+G579+G589+G599+G609+G619+G629+G639+G649+G659+G669+G679+G689+G699+G709+G719+G729+G739+G749+G932+G942+G759</f>
        <v>1208536.0000000002</v>
      </c>
      <c r="H953" s="339">
        <f>H15+H25+H39+H49+H63+H87+H107+H117+H126+H145+H165+H185+H195+H205+H215+H225+H235+H255+H289+H299+H309+H319+H329+H339+H349+H359+H369+H379+H389+H399+H409+H419+H429+H439+H449+H459+H469+H479+H489+H499+H509+H519+H529+H539+H549+H559+H569+H579+H589+H599+H609+H619+H629+H639+H649+H659+H669+H679+H689+H699+H709+H719+H729+H739+H749+H932+H942+H135+H759+H769</f>
        <v>579043.89999999991</v>
      </c>
      <c r="I953" s="339">
        <f>I15+I25+I39+I49+I63+I77+I107+I117+I126+I145+I155+I185+I195+I205+I215+I225+I235+I245+I255+I265+I289+I299+I309+I319+I329+I339+I349+I359+I369+I379+I389+I399+I409+I419+I429+I439+I449+I459+I469+I479+I489+I499+I509+I519+I529+I539+I549+I559+I569+I579+I589+I599+I609+I619+I629+I639+I649+I659+I669+I679+I689+I699+I709+I719+I729+I739+I749+I932+I942+I759+I800</f>
        <v>20762.5</v>
      </c>
      <c r="J953" s="342">
        <f>J15+J25+J39+J49+J63+J87+J107+J117+J126+J145+J165+J185+J195+J205+J215+J225+J235+J255+J289+J299+J309+J319+J329+J339+J349+J359+J369+J379+J389+J399+J409+J419+J429+J439+J449+J459+J469+J479+J489+J499+J509+J519+J529+J539+J549+J559+J569+J579+J589+J599+J609+J619+J629+J639+J649+J659+J669+J679+J689+J699+J709+J719+J729+J739+J749+J932+J942+J135+J759</f>
        <v>109030.2</v>
      </c>
      <c r="K953" s="336"/>
      <c r="L953" s="336"/>
      <c r="M953" s="57"/>
    </row>
    <row r="954" spans="1:13" ht="23.1" customHeight="1" x14ac:dyDescent="0.3">
      <c r="A954" s="337"/>
      <c r="B954" s="333"/>
      <c r="C954" s="340"/>
      <c r="D954" s="341">
        <v>2023</v>
      </c>
      <c r="E954" s="261">
        <f t="shared" si="101"/>
        <v>2159738.3999999994</v>
      </c>
      <c r="F954" s="261">
        <f>F16+F26+F40+F50+F64+F78+F88+F108+F118+F127+F146+F156+F166+F186+F196+F206+F216+F226+F236+F246+F256+F266+F290+F300+F310+F320+F330+F340+F350+F360+F370+F380+F390+F400+F410+F420+F430+F440+F450+F460+F470+F480+F490+F500+F510+F520+F530+F540+F550+F560+F570+F580+F590+F600+F610+F620+F630+F640+F650+F660+F670+F680+F690+F700+F710+F720+F730+F740+F750+F933+F943+F800</f>
        <v>45856.4</v>
      </c>
      <c r="G954" s="339">
        <f>G16+G26+G40+G50+G64+G78+G108+G118+G127+G146+G156+G186+G196+G206+G216+G226+G236+G246+G256+G266+G290+G300+G310+G320+G330+G340+G350+G360+G370+G380+G390+G400+G410+G420+G430+G440+G450+G460+G470+G480+G490+G500+G510+G520+G530+G540+G550+G560+G570+G580+G590+G600+G610+G620+G630+G640+G650+G660+G670+G680+G690+G700+G710+G720+G730+G740+G750+G933+G943+G760+G770+G780+G790+G800</f>
        <v>1340019.0999999996</v>
      </c>
      <c r="H954" s="339">
        <f>H16+H26+H40+H50+H64+H88+H98+H108+H118+H127+H146+H166+H176+H186+H196+H206+H216+H226+H236+H256+H290+H300+H310+H320+H330+H340+H350+H360+H370+H380+H390+H400+H410+H420+H430+H440+H450+H460+H470+H480+H490+H500+H510+H520+H530+H540+H550+H560+H570+H580+H590+H600+H610+H620+H630+H640+H650+H660+H670+H680+H690+H700+H710+H720+H730+H740+H750+H933+H943+H136+H760+H770+H780+H790+H800+H820+H830+H840+H850</f>
        <v>663301.29999999981</v>
      </c>
      <c r="I954" s="261">
        <f>I16+I26+I40+I50+I64+I78+I88+I108+I118+I127+I146+I156+I166+I186+I196+I206+I216+I226+I236+I246+I256+I266+I290+I300+I310+I320+I330+I340+I350+I360+I370+I380+I390+I400+I410+I420+I430+I440+I450+I460+I470+I480+I490+I500+I510+I520+I530+I540+I550+I560+I570+I580+I590+I600+I610+I620+I630+I640+I650+I660+I670+I680+I690+I700+I710+I720+I730+I740+I750+I933+I943+I760+I770+I780+I890+I880+I870+I860+I850+I840+I830+I820+I810+I800+I790</f>
        <v>12037.800000000001</v>
      </c>
      <c r="J954" s="335">
        <f>J16+J26+J40+J50+J64+J78+J88+J108+J118+J127+J146+J156+J166+J186+J196+J206+J216+J226+J236+J246+J256+J266+J290+J300+J310+J320+J330+J340+J350+J360+J370+J380+J390+J400+J410+J420+J430+J440+J450+J460+J470+J480+J490+J500+J510+J520+J530+J540+J550+J560+J570+J580+J590+J600+J610+J620+J630+J640+J650+J660+J670+J680+J690+J700+J710+J720+J730+J740+J750+J933+J943</f>
        <v>110561.60000000001</v>
      </c>
      <c r="K954" s="336"/>
      <c r="L954" s="336"/>
      <c r="M954" s="57"/>
    </row>
    <row r="955" spans="1:13" ht="23.1" customHeight="1" x14ac:dyDescent="0.3">
      <c r="A955" s="337"/>
      <c r="B955" s="333"/>
      <c r="C955" s="340"/>
      <c r="D955" s="341">
        <v>2024</v>
      </c>
      <c r="E955" s="261">
        <f>F955+G955+H955+J955</f>
        <v>2710928</v>
      </c>
      <c r="F955" s="261">
        <f>F17+F27+F41+F51+F65+F79+F89+F109+F119+F128+F147+F157+F167+F187+F197+F207+F217+F227+F237+F247+F257+F267+F291+F301+F311+F321+F331+F341+F351+F361+F371+F381+F391+F401+F411+F421+F431+F441+F451+F461+F471+F481+F491+F501+F511+F521+F531+F541+F551+F561+F571+F581+F591+F601+F611+F621+F631+F641+F651+F661+F671+F681+F691+F701+F711+F721+F731+F741+F751+F934+F944+F801</f>
        <v>83783.700000000012</v>
      </c>
      <c r="G955" s="339">
        <f>G17+G27+G41+G51+G65+G79+G109+G119+G128+G147+G157+G187+G197+G207+G217+G227+G237+G247+G257+G267+G291+G301+G311+G321+G331+G341+G351+G361+G371+G381+G391+G401+G411+G421+G431+G441+G451+G461+G471+G481+G491+G501+G511+G521+G531+G541+G551+G561+G571+G581+G591+G601+G611+G621+G631+G641+G651+G661+G671+G681+G691+G701+G711+G721+G731+G741+G751+G934+G944+G761+G771+G781+G791+G801+G921</f>
        <v>1640936</v>
      </c>
      <c r="H955" s="339">
        <f>H17+H27+H41+H51+H65+H89+H99+H109+H119+H128+H147+H167+H177+H187+H197+H207+H217+H227+H237+H257+H291+H301+H311+H321+H331+H341+H351+H361+H371+H381+H391+H401+H411+H421+H431+H441+H451+H461+H471+H481+H491+H501+H511+H521+H531+H541+H551+H561+H571+H581+H591+H601+H611+H621+H631+H641+H651+H661+H671+H681+H691+H701+H711+H721+H731+H741+H751+H934+H944+H137+H761+H771+H781+H791+H801+H831+H811+H891+H881+H871+H861+H851+H841+H901+H821</f>
        <v>835123.6</v>
      </c>
      <c r="I955" s="261">
        <f>I17+I27+I41+I51+I65+I79+I89+I109+I119+I128+I147+I157+I167+I187+I197+I207+I217+I227+I237+I247+I257+I267+I291+I301+I311+I321+I331+I341+I351+I361+I371+I381+I391+I401+I411+I421+I431+I441+I451+I461+I471+I481+I491+I501+I511+I521+I531+I541+I551+I561+I571+I581+I591+I601+I611+I621+I631+I641+I651+I661+I671+I681+I691+I701+I711+I721+I731+I741+I751+I934+I944+I761+I771+I781+I801+I811+I891+I881+I871+I861+I851+I841+I831+I821-0.1</f>
        <v>15006.8</v>
      </c>
      <c r="J955" s="335">
        <f>J17+J27+J41+J51+J65+J79+J89+J109+J119+J128+J147+J157+J167+J187+J197+J207+J217+J227+J237+J247+J257+J267+J291+J301+J311+J321+J331+J341+J351+J361+J371+J381+J391+J401+J411+J421+J431+J441+J451+J461+J471+J481+J491+J501+J511+J521+J531+J541+J551+J561+J571+J581+J591+J601+J611+J621+J631+J641+J651+J661+J671+J681+J691+J701+J711+J721+J731+J741+J751+J934+J944</f>
        <v>151084.70000000001</v>
      </c>
      <c r="K955" s="336"/>
      <c r="L955" s="336"/>
      <c r="M955" s="255">
        <f>837241.6-H955</f>
        <v>2118</v>
      </c>
    </row>
    <row r="956" spans="1:13" ht="23.1" customHeight="1" x14ac:dyDescent="0.3">
      <c r="A956" s="337"/>
      <c r="B956" s="333"/>
      <c r="C956" s="340"/>
      <c r="D956" s="343">
        <v>2025</v>
      </c>
      <c r="E956" s="344">
        <f t="shared" si="101"/>
        <v>3021154.5000000005</v>
      </c>
      <c r="F956" s="261">
        <f>F18+F28+F42+F52+F66+F80+F90+F110+F120+F129+F148+F158+F168+F188+F198+F208+F218+F228+F238+F248+F258+F268+F292+F302+F312+F322+F332+F342+F352+F362+F372+F382+F392+F402+F412+F422+F432+F442+F452+F462+F472+F482+F492+F502+F512+F522+F532+F542+F552+F562+F572+F582+F592+F602+F612+F622+F632+F642+F652+F662+F672+F682+F692+F702+F712+F722+F732+F742+F752+F935+F945+F802</f>
        <v>44919</v>
      </c>
      <c r="G956" s="339">
        <f>G18+G28+G42+G52+G66+G80+G110+G120+G129+G148+G158+G188+G198+G208+G218+G228+G238+G248+G258+G268+G292+G302+G312+G322+G332+G342+G352+G362+G372+G382+G392+G402+G412+G422+G432+G442+G452+G462+G472+G482+G492+G502+G512+G522+G532+G542+G552+G562+G572+G582+G592+G602+G612+G622+G632+G642+G652+G662+G672+G682+G692+G702+G712+G722+G732+G742+G752+G935+G945+G762+G772+G782+G792+G802</f>
        <v>1874360.0000000005</v>
      </c>
      <c r="H956" s="339">
        <f>H18+H28+H42+H52+H66+H90+H100+H110+H120+H129+H148+H168+H178+H188+H198+H208+H218+H228+H238+H258+H292+H302+H312+H322+H332+H342+H352+H362+H372+H382+H392+H402+H412+H422+H432+H442+H452+H462+H472+H482+H492+H502+H512+H522+H532+H542+H552+H562+H572+H582+H592+H602+H612+H622+H632+H642+H652+H662+H672+H682+H692+H702+H712+H722+H732+H742+H752+H935+H945+H138+H762+H772+H782+H792+H802+H892+H882+H872+H862+H852+H842+H832+H822+H812+H912</f>
        <v>950790.79999999993</v>
      </c>
      <c r="I956" s="344">
        <f>I18+I28+I42+I52+I66+I80+I90+I110+I120+I129+I148+I158+I168+I188+I198+I208+I218+I228+I238+I248+I258+I268+I292+I302+I312+I322+I332+I342+I352+I362+I372+I382+I392+I402+I412+I422+I432+I442+I452+I462+I472+I482+I492+I502+I512+I522+I532+I542+I552+I562+I572+I582+I592+I602+I612+I622+I632+I642+I652+I662+I672+I682+I692+I702+I712+I722+I732+I742+I752+I935+I945+I772+I762+I802+I892+I882+I872+I862+I852+I842+I832+I822+I812+I912</f>
        <v>17586.8</v>
      </c>
      <c r="J956" s="345">
        <f>J18+J28+J42+J52+J66+J80+J90+J110+J120+J129+J148+J158+J168+J188+J198+J208+J218+J228+J238+J248+J258+J268+J292+J302+J312+J322+J332+J342+J352+J362+J372+J382+J392+J402+J412+J422+J432+J442+J452+J462+J472+J482+J492+J502+J512+J522+J532+J542+J552+J562+J572+J582+J592+J602+J612+J622+J632+J642+J652+J662+J672+J682+J692+J702+J712+J722+J732+J742+J752+J935+J945</f>
        <v>151084.70000000001</v>
      </c>
      <c r="K956" s="336"/>
      <c r="L956" s="336"/>
      <c r="M956" s="255">
        <f>825527.8-H956</f>
        <v>-125262.99999999988</v>
      </c>
    </row>
    <row r="957" spans="1:13" ht="23.1" customHeight="1" x14ac:dyDescent="0.3">
      <c r="A957" s="337"/>
      <c r="B957" s="346"/>
      <c r="C957" s="347"/>
      <c r="D957" s="348">
        <v>2026</v>
      </c>
      <c r="E957" s="344">
        <f>F957+G957+H957+J957</f>
        <v>3139472.5000000009</v>
      </c>
      <c r="F957" s="261">
        <f>F18+F28+F43+F53+F67+F81+F91+F111+F120+F129+F149+F159+F169+F189+F199+F209+F219+F229+F239+F249+F259+F269+F293+F303+F313+F323+F333+F343+F353+F363+F373+F383+F393+F403+F413+F423+F433+F443+F453+F463+F473+F483+F493+F503+F513+F523+F533+F543+F553+F563+F573+F583+F593+F603+F613+F623+F633+F643+F653+F663+F673+F683+F693+F703+F713+F723+F733+F743+F753+F936+F946+F803</f>
        <v>44997.1</v>
      </c>
      <c r="G957" s="339">
        <f>G18+G28+G43+G53+G67+G81+G111+G120+G129+G149+G159+G189+G199+G209+G219+G229+G239+G249+G259+G269+G293+G303+G313+G323+G333+G343+G353+G363+G373+G383+G393+G403+G413+G423+G433+G443+G453+G463+G473+G483+G493+G503+G513+G523+G533+G543+G553+G563+G573+G583+G593+G603+G613+G623+G633+G643+G653+G663+G673+G683+G693+G703+G713+G723+G733+G743+G753+G936+G946+G763+G773+G783+G793+G803</f>
        <v>1988891.1000000006</v>
      </c>
      <c r="H957" s="339">
        <f>H18+H28+H43+H53+H67+H91+H101+H111+H120+H129+H149+H169+H179+H189+H199+H209+H219+H229+H239+H259+H293+H303+H313+H323+H333+H343+H353+H363+H373+H383+H393+H403+H413+H423+H433+H443+H453+H463+H473+H483+H493+H503+H513+H523+H533+H543+H553+H563+H573+H583+H593+H603+H613+H623+H633+H643+H653+H663+H673+H683+H693+H703+H713+H723+H733+H743+H753+H936+H946+H139+H763+H773+H783+H793+H803+H893+H883+H873+H863+H853+H843+H833+H823+H813</f>
        <v>954499.60000000009</v>
      </c>
      <c r="I957" s="344">
        <f>I18+I28+I43+I53+I67+I81+I91+I111+I120+I129+I149+I159+I169+I189+I199+I209+I219+I229+I239+I249+I259+I269+I293+I303+I313+I323+I333+I343+I353+I363+I373+I383+I393+I403+I413+I423+I433+I443+I453+I463+I473+I483+I493+I503+I513+I523+I533+I543+I553+I563+I573+I583+I593+I603+I613+I623+I633+I643+I653+I663+I673+I683+I693+I703+I713+I723+I733+I743+I753+I936+I946+I773+I763+I803+I893+I883+I873+I863+I853+I843+I833+I823+I813</f>
        <v>10668</v>
      </c>
      <c r="J957" s="345">
        <f>J18+J28+J43+J53+J67+J81+J91+J111+J120+J129+J149+J159+J169+J189+J199+J209+J219+J229+J239+J249+J259+J269+J293+J303+J313+J323+J333+J343+J353+J363+J373+J383+J393+J403+J413+J423+J433+J443+J453+J463+J473+J483+J493+J503+J513+J523+J533+J543+J553+J563+J573+J583+J593+J603+J613+J623+J633+J643+J653+J663+J673+J683+J693+J703+J713+J723+J733+J743+J753+J936+J946</f>
        <v>151084.70000000001</v>
      </c>
      <c r="K957" s="349"/>
      <c r="L957" s="349"/>
      <c r="M957" s="255"/>
    </row>
    <row r="958" spans="1:13" ht="23.1" customHeight="1" thickBot="1" x14ac:dyDescent="0.35">
      <c r="A958" s="337"/>
      <c r="B958" s="346"/>
      <c r="C958" s="347"/>
      <c r="D958" s="348">
        <v>2027</v>
      </c>
      <c r="E958" s="344">
        <f>F958+G958+H958+J958</f>
        <v>3039520</v>
      </c>
      <c r="F958" s="261">
        <f>F20+F30+F44+F54+F68+F82+F92+F112+F121+F130+F150+F160+F170+F190+F200+F210+F220+F230+F240+F250+F260+F270+F294+F304+F314+F324+F334+F344+F354+F364+F374+F384+F394+F404+F414+F424+F434+F444+F454+F464+F474+F484+F494+F504+F514+F524+F534+F544+F554+F564+F574+F584+F594+F604+F614+F624+F634+F644+F654+F664+F674+F684+F694+F704+F714+F724+F734+F744+F754+F937+F947+F804</f>
        <v>0</v>
      </c>
      <c r="G958" s="339">
        <f>G20+G30+G44+G54+G68+G82+G112+G121+G130+G150+G160+G190+G200+G210+G220+G230+G240+G250+G260+G270+G294+G304+G314+G324+G334+G344+G354+G364+G374+G384+G394+G404+G414+G424+G434+G444+G454+G464+G474+G484+G494+G504+G514+G524+G534+G544+G554+G564+G574+G584+G594+G604+G614+G624+G634+G644+G654+G664+G674+G684+G694+G704+G714+G724+G734+G744+G754+G937+G947+G764+G774+G784+G794+G804</f>
        <v>1928680.4</v>
      </c>
      <c r="H958" s="339">
        <f>H20+H30+H44+H54+H68+H92+H102+H112+H121+H130+H150+H170+H180+H190+H200+H210+H220+H230+H240+H260+H294+H304+H314+H324+H334+H344+H354+H364+H374+H384+H394+H404+H414+H424+H434+H444+H454+H464+H474+H484+H494+H504+H514+H524+H534+H544+H554+H564+H574+H584+H594+H604+H614+H624+H634+H644+H654+H664+H674+H684+H694+H704+H714+H724+H734+H744+H754+H937+H947+H140+H764+H774+H784+H794+H804+H894+H884+H874+H864+H854+H844+H834+H824+H814</f>
        <v>959754.90000000014</v>
      </c>
      <c r="I958" s="344">
        <f>I20+I30+I44+I54+I68+I82+I92+I112+I121+I130+I150+I160+I170+I190+I200+I210+I220+I230+I240+I250+I260+I270+I294+I304+I314+I324+I334+I344+I354+I364+I374+I384+I394+I404+I414+I424+I434+I444+I454+I464+I474+I484+I494+I504+I514+I524+I534+I544+I554+I564+I574+I584+I594+I604+I614+I624+I634+I644+I654+I664+I674+I684+I694+I704+I714+I724+I734+I744+I754+I937+I947+I774+I764+I804+I894+I884+I874+I864+I854+I844+I834+I824+I814</f>
        <v>15056.099999999999</v>
      </c>
      <c r="J958" s="345">
        <f>J20+J30+J44+J54+J68+J82+J92+J112+J121+J130+J150+J160+J170+J190+J200+J210+J220+J230+J240+J250+J260+J270+J294+J304+J314+J324+J334+J344+J354+J364+J374+J384+J394+J404+J414+J424+J434+J444+J454+J464+J474+J484+J494+J504+J514+J524+J534+J544+J554+J564+J574+J584+J594+J604+J614+J624+J634+J644+J654+J664+J674+J684+J694+J704+J714+J724+J734+J744+J754+J937+J947</f>
        <v>151084.70000000001</v>
      </c>
      <c r="K958" s="349"/>
      <c r="L958" s="349"/>
      <c r="M958" s="255">
        <f>827294.7-H958</f>
        <v>-132460.20000000019</v>
      </c>
    </row>
    <row r="959" spans="1:13" ht="23.1" customHeight="1" x14ac:dyDescent="0.3">
      <c r="A959" s="131"/>
      <c r="B959" s="333"/>
      <c r="C959" s="350">
        <v>0</v>
      </c>
      <c r="D959" s="351"/>
      <c r="E959" s="352">
        <f>F959+G959+H959+J959</f>
        <v>22128234.499999996</v>
      </c>
      <c r="F959" s="352">
        <f>F949+F950+F951+F952+F953+F954+F955+F956+F958+F957</f>
        <v>325513</v>
      </c>
      <c r="G959" s="352">
        <f>G949+G950+G951+G952+G953+G954+G955+G956+G958+G957</f>
        <v>14051966.699999999</v>
      </c>
      <c r="H959" s="352">
        <f>H949+H950+H951+H952+H953+H954+H955+H956+H958+H957</f>
        <v>6527104.5999999996</v>
      </c>
      <c r="I959" s="352">
        <f>I949+I950+I951+I952+I953+I954+I955+I956+I958+I957</f>
        <v>117660.6</v>
      </c>
      <c r="J959" s="353">
        <f>J949+J950+J951+J952+J953+J954+J955+J956+J958+J957</f>
        <v>1223650.2</v>
      </c>
      <c r="K959" s="336"/>
      <c r="L959" s="336"/>
      <c r="M959" s="57"/>
    </row>
    <row r="960" spans="1:13" x14ac:dyDescent="0.3">
      <c r="A960" s="354"/>
      <c r="B960" s="355"/>
      <c r="C960" s="356"/>
      <c r="E960" s="357"/>
      <c r="F960" s="358"/>
      <c r="G960" s="358"/>
      <c r="H960" s="358"/>
      <c r="I960" s="358"/>
      <c r="J960" s="358"/>
      <c r="K960" s="359"/>
      <c r="L960" s="359"/>
    </row>
    <row r="961" spans="2:14" ht="20.100000000000001" customHeight="1" x14ac:dyDescent="0.25">
      <c r="B961" s="360" t="s">
        <v>21</v>
      </c>
      <c r="C961" s="360"/>
      <c r="D961" s="360"/>
      <c r="E961" s="360"/>
      <c r="F961" s="360"/>
      <c r="G961" s="360"/>
      <c r="H961" s="360"/>
      <c r="I961" s="360"/>
      <c r="J961" s="360"/>
      <c r="K961" s="360"/>
      <c r="L961" s="360"/>
    </row>
    <row r="962" spans="2:14" ht="26.25" customHeight="1" x14ac:dyDescent="0.25">
      <c r="B962" s="360"/>
      <c r="C962" s="360"/>
      <c r="D962" s="360"/>
      <c r="E962" s="360"/>
      <c r="F962" s="360"/>
      <c r="G962" s="360"/>
      <c r="H962" s="360"/>
      <c r="I962" s="360"/>
      <c r="J962" s="360"/>
      <c r="K962" s="360"/>
      <c r="L962" s="360"/>
    </row>
    <row r="963" spans="2:14" ht="22.5" customHeight="1" x14ac:dyDescent="0.25">
      <c r="B963" s="360"/>
      <c r="C963" s="360"/>
      <c r="D963" s="360"/>
      <c r="E963" s="360"/>
      <c r="F963" s="360"/>
      <c r="G963" s="360"/>
      <c r="H963" s="360"/>
      <c r="I963" s="360"/>
      <c r="J963" s="360"/>
      <c r="K963" s="360"/>
      <c r="L963" s="360"/>
    </row>
    <row r="964" spans="2:14" ht="22.5" customHeight="1" x14ac:dyDescent="0.25">
      <c r="B964" s="360" t="s">
        <v>22</v>
      </c>
      <c r="C964" s="360"/>
      <c r="D964" s="360"/>
      <c r="E964" s="360"/>
      <c r="F964" s="360"/>
      <c r="G964" s="360"/>
      <c r="H964" s="360"/>
      <c r="I964" s="360"/>
      <c r="J964" s="360"/>
      <c r="K964" s="360"/>
      <c r="L964" s="360"/>
    </row>
    <row r="965" spans="2:14" ht="64.5" customHeight="1" x14ac:dyDescent="0.25">
      <c r="B965" s="360"/>
      <c r="C965" s="360"/>
      <c r="D965" s="360"/>
      <c r="E965" s="360"/>
      <c r="F965" s="360"/>
      <c r="G965" s="360"/>
      <c r="H965" s="360"/>
      <c r="I965" s="360"/>
      <c r="J965" s="360"/>
      <c r="K965" s="360"/>
      <c r="L965" s="360"/>
    </row>
    <row r="966" spans="2:14" ht="27.75" customHeight="1" x14ac:dyDescent="0.25">
      <c r="B966" s="360" t="s">
        <v>20</v>
      </c>
      <c r="C966" s="360"/>
      <c r="D966" s="360"/>
      <c r="E966" s="360"/>
      <c r="F966" s="360"/>
      <c r="G966" s="360"/>
      <c r="H966" s="360"/>
      <c r="I966" s="360"/>
      <c r="J966" s="360"/>
      <c r="K966" s="360"/>
      <c r="L966" s="360"/>
    </row>
    <row r="967" spans="2:14" ht="20.100000000000001" customHeight="1" x14ac:dyDescent="0.25">
      <c r="B967" s="360"/>
      <c r="C967" s="360"/>
      <c r="D967" s="360"/>
      <c r="E967" s="360"/>
      <c r="F967" s="360"/>
      <c r="G967" s="360"/>
      <c r="H967" s="360"/>
      <c r="I967" s="360"/>
      <c r="J967" s="360"/>
      <c r="K967" s="360"/>
      <c r="L967" s="360"/>
      <c r="N967" s="284">
        <f>F955+G955+H955</f>
        <v>2559843.2999999998</v>
      </c>
    </row>
    <row r="968" spans="2:14" ht="24.75" customHeight="1" x14ac:dyDescent="0.25">
      <c r="B968" s="360" t="s">
        <v>203</v>
      </c>
      <c r="C968" s="360"/>
      <c r="D968" s="360"/>
      <c r="E968" s="360"/>
      <c r="F968" s="360"/>
      <c r="G968" s="360"/>
      <c r="H968" s="360"/>
      <c r="I968" s="360"/>
      <c r="J968" s="360"/>
      <c r="K968" s="360"/>
      <c r="L968" s="360"/>
    </row>
    <row r="969" spans="2:14" ht="41.25" customHeight="1" x14ac:dyDescent="0.25">
      <c r="B969" s="360"/>
      <c r="C969" s="360"/>
      <c r="D969" s="360"/>
      <c r="E969" s="360"/>
      <c r="F969" s="360"/>
      <c r="G969" s="360"/>
      <c r="H969" s="360"/>
      <c r="I969" s="360"/>
      <c r="J969" s="360"/>
      <c r="K969" s="360"/>
      <c r="L969" s="360"/>
    </row>
    <row r="970" spans="2:14" ht="120.75" customHeight="1" x14ac:dyDescent="0.25">
      <c r="B970" s="360" t="s">
        <v>323</v>
      </c>
      <c r="C970" s="360"/>
      <c r="D970" s="360"/>
      <c r="E970" s="360"/>
      <c r="F970" s="360"/>
      <c r="G970" s="360"/>
      <c r="H970" s="360"/>
      <c r="I970" s="360"/>
      <c r="J970" s="360"/>
      <c r="K970" s="360"/>
      <c r="L970" s="360"/>
    </row>
    <row r="971" spans="2:14" x14ac:dyDescent="0.25">
      <c r="B971" s="361"/>
      <c r="C971" s="361"/>
      <c r="D971" s="361"/>
      <c r="E971" s="361"/>
      <c r="F971" s="361"/>
      <c r="G971" s="361"/>
      <c r="H971" s="361"/>
      <c r="I971" s="361"/>
      <c r="J971" s="361"/>
      <c r="K971" s="361"/>
      <c r="L971" s="361"/>
    </row>
    <row r="972" spans="2:14" ht="30.75" customHeight="1" x14ac:dyDescent="0.3">
      <c r="B972" s="362" t="s">
        <v>360</v>
      </c>
      <c r="C972" s="362"/>
      <c r="D972" s="362"/>
      <c r="E972" s="362"/>
      <c r="F972" s="362"/>
      <c r="G972" s="363"/>
      <c r="H972" s="363"/>
      <c r="I972" s="364"/>
      <c r="J972" s="364"/>
      <c r="K972" s="365" t="s">
        <v>180</v>
      </c>
      <c r="L972" s="366"/>
    </row>
    <row r="973" spans="2:14" ht="20.25" x14ac:dyDescent="0.3">
      <c r="B973" s="364"/>
      <c r="C973" s="367">
        <v>0</v>
      </c>
      <c r="D973" s="364"/>
      <c r="E973" s="364"/>
      <c r="F973" s="364"/>
      <c r="G973" s="364"/>
      <c r="H973" s="364"/>
      <c r="I973" s="364"/>
      <c r="J973" s="364"/>
      <c r="K973" s="368"/>
      <c r="L973" s="366"/>
    </row>
  </sheetData>
  <mergeCells count="416">
    <mergeCell ref="B972:F972"/>
    <mergeCell ref="B961:L963"/>
    <mergeCell ref="B964:L965"/>
    <mergeCell ref="B966:L967"/>
    <mergeCell ref="B968:L969"/>
    <mergeCell ref="B970:L970"/>
    <mergeCell ref="A938:A947"/>
    <mergeCell ref="B938:B947"/>
    <mergeCell ref="K938:K947"/>
    <mergeCell ref="L938:L947"/>
    <mergeCell ref="A949:A959"/>
    <mergeCell ref="B949:B959"/>
    <mergeCell ref="K949:K959"/>
    <mergeCell ref="L949:L959"/>
    <mergeCell ref="A927:L927"/>
    <mergeCell ref="A928:A937"/>
    <mergeCell ref="B928:B937"/>
    <mergeCell ref="K928:K937"/>
    <mergeCell ref="L928:L937"/>
    <mergeCell ref="A875:A884"/>
    <mergeCell ref="B875:B884"/>
    <mergeCell ref="K875:K884"/>
    <mergeCell ref="L875:L884"/>
    <mergeCell ref="A885:A894"/>
    <mergeCell ref="B885:B894"/>
    <mergeCell ref="K885:K894"/>
    <mergeCell ref="L885:L894"/>
    <mergeCell ref="B926:L926"/>
    <mergeCell ref="A905:A914"/>
    <mergeCell ref="B905:B914"/>
    <mergeCell ref="K905:K914"/>
    <mergeCell ref="L905:L914"/>
    <mergeCell ref="B895:B904"/>
    <mergeCell ref="A895:A904"/>
    <mergeCell ref="K895:K904"/>
    <mergeCell ref="L895:L904"/>
    <mergeCell ref="B915:B924"/>
    <mergeCell ref="A915:A924"/>
    <mergeCell ref="A855:A864"/>
    <mergeCell ref="B855:B864"/>
    <mergeCell ref="K855:K864"/>
    <mergeCell ref="L855:L864"/>
    <mergeCell ref="A865:A874"/>
    <mergeCell ref="B865:B874"/>
    <mergeCell ref="K865:K874"/>
    <mergeCell ref="L865:L874"/>
    <mergeCell ref="A835:A844"/>
    <mergeCell ref="B835:B844"/>
    <mergeCell ref="K835:K844"/>
    <mergeCell ref="L835:L844"/>
    <mergeCell ref="A845:A854"/>
    <mergeCell ref="B845:B854"/>
    <mergeCell ref="K845:K854"/>
    <mergeCell ref="L845:L854"/>
    <mergeCell ref="A815:A824"/>
    <mergeCell ref="B815:B824"/>
    <mergeCell ref="K815:K824"/>
    <mergeCell ref="L815:L824"/>
    <mergeCell ref="A825:A834"/>
    <mergeCell ref="B825:B834"/>
    <mergeCell ref="K825:K834"/>
    <mergeCell ref="L825:L834"/>
    <mergeCell ref="A795:A804"/>
    <mergeCell ref="B795:B804"/>
    <mergeCell ref="K795:K804"/>
    <mergeCell ref="L795:L804"/>
    <mergeCell ref="A805:A814"/>
    <mergeCell ref="B805:B814"/>
    <mergeCell ref="K805:K814"/>
    <mergeCell ref="L805:L814"/>
    <mergeCell ref="A785:A794"/>
    <mergeCell ref="B785:B794"/>
    <mergeCell ref="K785:K794"/>
    <mergeCell ref="L785:L794"/>
    <mergeCell ref="B751:B754"/>
    <mergeCell ref="A755:A764"/>
    <mergeCell ref="B755:B764"/>
    <mergeCell ref="K755:K764"/>
    <mergeCell ref="L755:L764"/>
    <mergeCell ref="A765:A774"/>
    <mergeCell ref="B765:B774"/>
    <mergeCell ref="K765:K774"/>
    <mergeCell ref="L765:L774"/>
    <mergeCell ref="B775:B780"/>
    <mergeCell ref="L775:L780"/>
    <mergeCell ref="K775:K780"/>
    <mergeCell ref="K781:K784"/>
    <mergeCell ref="L781:L784"/>
    <mergeCell ref="A775:A780"/>
    <mergeCell ref="A781:A784"/>
    <mergeCell ref="B781:B784"/>
    <mergeCell ref="A735:A744"/>
    <mergeCell ref="B735:B744"/>
    <mergeCell ref="C735:C742"/>
    <mergeCell ref="K735:K744"/>
    <mergeCell ref="L735:L744"/>
    <mergeCell ref="A745:A754"/>
    <mergeCell ref="B745:B750"/>
    <mergeCell ref="C745:C752"/>
    <mergeCell ref="K745:K754"/>
    <mergeCell ref="L745:L754"/>
    <mergeCell ref="A695:A704"/>
    <mergeCell ref="B695:B704"/>
    <mergeCell ref="C695:C702"/>
    <mergeCell ref="K695:K704"/>
    <mergeCell ref="L695:L704"/>
    <mergeCell ref="B721:B724"/>
    <mergeCell ref="A725:A734"/>
    <mergeCell ref="B725:B734"/>
    <mergeCell ref="C725:C732"/>
    <mergeCell ref="K725:K734"/>
    <mergeCell ref="L725:L734"/>
    <mergeCell ref="A705:A714"/>
    <mergeCell ref="B705:B714"/>
    <mergeCell ref="C705:C712"/>
    <mergeCell ref="K705:K714"/>
    <mergeCell ref="L705:L714"/>
    <mergeCell ref="A715:A724"/>
    <mergeCell ref="B715:B720"/>
    <mergeCell ref="C715:C722"/>
    <mergeCell ref="K715:K724"/>
    <mergeCell ref="L715:L724"/>
    <mergeCell ref="A675:A684"/>
    <mergeCell ref="B675:B684"/>
    <mergeCell ref="C675:C682"/>
    <mergeCell ref="K675:K684"/>
    <mergeCell ref="L675:L684"/>
    <mergeCell ref="A685:A694"/>
    <mergeCell ref="B685:B694"/>
    <mergeCell ref="C685:C692"/>
    <mergeCell ref="K685:K694"/>
    <mergeCell ref="L685:L694"/>
    <mergeCell ref="A655:A664"/>
    <mergeCell ref="B655:B664"/>
    <mergeCell ref="C655:C662"/>
    <mergeCell ref="K655:K664"/>
    <mergeCell ref="L655:L664"/>
    <mergeCell ref="A665:A674"/>
    <mergeCell ref="B665:B674"/>
    <mergeCell ref="C665:C672"/>
    <mergeCell ref="K665:K674"/>
    <mergeCell ref="L665:L674"/>
    <mergeCell ref="A625:A634"/>
    <mergeCell ref="B625:B634"/>
    <mergeCell ref="C625:C632"/>
    <mergeCell ref="K625:K634"/>
    <mergeCell ref="L625:L634"/>
    <mergeCell ref="A635:A654"/>
    <mergeCell ref="B635:B644"/>
    <mergeCell ref="C635:C642"/>
    <mergeCell ref="K635:K644"/>
    <mergeCell ref="L635:L644"/>
    <mergeCell ref="B645:B654"/>
    <mergeCell ref="C645:C652"/>
    <mergeCell ref="K645:K654"/>
    <mergeCell ref="L645:L654"/>
    <mergeCell ref="A605:A614"/>
    <mergeCell ref="B605:B614"/>
    <mergeCell ref="C605:C612"/>
    <mergeCell ref="K605:K614"/>
    <mergeCell ref="L605:L614"/>
    <mergeCell ref="A615:A624"/>
    <mergeCell ref="B615:B624"/>
    <mergeCell ref="C615:C622"/>
    <mergeCell ref="K615:K624"/>
    <mergeCell ref="L615:L624"/>
    <mergeCell ref="A595:A604"/>
    <mergeCell ref="B595:B604"/>
    <mergeCell ref="C595:C602"/>
    <mergeCell ref="K595:K604"/>
    <mergeCell ref="L595:L604"/>
    <mergeCell ref="A575:A584"/>
    <mergeCell ref="B575:B584"/>
    <mergeCell ref="C575:C582"/>
    <mergeCell ref="K575:K584"/>
    <mergeCell ref="L575:L584"/>
    <mergeCell ref="A585:A594"/>
    <mergeCell ref="B585:B590"/>
    <mergeCell ref="C585:C592"/>
    <mergeCell ref="K585:K594"/>
    <mergeCell ref="L585:L594"/>
    <mergeCell ref="B592:B594"/>
    <mergeCell ref="A555:A564"/>
    <mergeCell ref="B555:B564"/>
    <mergeCell ref="C555:C562"/>
    <mergeCell ref="K555:K564"/>
    <mergeCell ref="L555:L564"/>
    <mergeCell ref="A565:A574"/>
    <mergeCell ref="B565:B574"/>
    <mergeCell ref="C565:C572"/>
    <mergeCell ref="K565:K574"/>
    <mergeCell ref="L565:L574"/>
    <mergeCell ref="A535:A544"/>
    <mergeCell ref="B535:B544"/>
    <mergeCell ref="C535:C542"/>
    <mergeCell ref="K535:K544"/>
    <mergeCell ref="L535:L544"/>
    <mergeCell ref="A545:A554"/>
    <mergeCell ref="B545:B554"/>
    <mergeCell ref="C545:C552"/>
    <mergeCell ref="K545:K554"/>
    <mergeCell ref="L545:L554"/>
    <mergeCell ref="A515:A524"/>
    <mergeCell ref="B515:B524"/>
    <mergeCell ref="C515:C522"/>
    <mergeCell ref="K515:K524"/>
    <mergeCell ref="L515:L524"/>
    <mergeCell ref="A525:A534"/>
    <mergeCell ref="B525:B534"/>
    <mergeCell ref="C525:C532"/>
    <mergeCell ref="K525:K534"/>
    <mergeCell ref="L525:L534"/>
    <mergeCell ref="A495:A504"/>
    <mergeCell ref="B495:B504"/>
    <mergeCell ref="C495:C502"/>
    <mergeCell ref="K495:K504"/>
    <mergeCell ref="L495:L504"/>
    <mergeCell ref="A505:A514"/>
    <mergeCell ref="B505:B514"/>
    <mergeCell ref="C505:C512"/>
    <mergeCell ref="K505:K514"/>
    <mergeCell ref="L505:L514"/>
    <mergeCell ref="A475:A484"/>
    <mergeCell ref="B475:B484"/>
    <mergeCell ref="C475:C482"/>
    <mergeCell ref="K475:K484"/>
    <mergeCell ref="L475:L484"/>
    <mergeCell ref="A485:A494"/>
    <mergeCell ref="B485:B494"/>
    <mergeCell ref="C485:C492"/>
    <mergeCell ref="K485:K494"/>
    <mergeCell ref="L485:L494"/>
    <mergeCell ref="A465:A474"/>
    <mergeCell ref="B465:B470"/>
    <mergeCell ref="C465:C472"/>
    <mergeCell ref="K465:K474"/>
    <mergeCell ref="L465:L474"/>
    <mergeCell ref="B471:B474"/>
    <mergeCell ref="A445:A454"/>
    <mergeCell ref="B445:B454"/>
    <mergeCell ref="C445:C452"/>
    <mergeCell ref="K445:K454"/>
    <mergeCell ref="L445:L454"/>
    <mergeCell ref="A455:A464"/>
    <mergeCell ref="B455:B464"/>
    <mergeCell ref="C455:C462"/>
    <mergeCell ref="K455:K464"/>
    <mergeCell ref="L455:L464"/>
    <mergeCell ref="A425:A434"/>
    <mergeCell ref="B425:B434"/>
    <mergeCell ref="C425:C432"/>
    <mergeCell ref="K425:K434"/>
    <mergeCell ref="L425:L434"/>
    <mergeCell ref="A435:A444"/>
    <mergeCell ref="B435:B444"/>
    <mergeCell ref="C435:C442"/>
    <mergeCell ref="K435:K444"/>
    <mergeCell ref="L435:L444"/>
    <mergeCell ref="A405:A414"/>
    <mergeCell ref="B405:B414"/>
    <mergeCell ref="C405:C412"/>
    <mergeCell ref="K405:K414"/>
    <mergeCell ref="L405:L414"/>
    <mergeCell ref="A415:A424"/>
    <mergeCell ref="B415:B424"/>
    <mergeCell ref="C415:C422"/>
    <mergeCell ref="K415:K424"/>
    <mergeCell ref="L415:L424"/>
    <mergeCell ref="A385:A394"/>
    <mergeCell ref="B385:B394"/>
    <mergeCell ref="C385:C392"/>
    <mergeCell ref="K385:K394"/>
    <mergeCell ref="L385:L394"/>
    <mergeCell ref="A395:A404"/>
    <mergeCell ref="B395:B404"/>
    <mergeCell ref="C395:C402"/>
    <mergeCell ref="K395:K404"/>
    <mergeCell ref="L395:L404"/>
    <mergeCell ref="A365:A374"/>
    <mergeCell ref="B365:B374"/>
    <mergeCell ref="C365:C372"/>
    <mergeCell ref="K365:K374"/>
    <mergeCell ref="L365:L374"/>
    <mergeCell ref="A375:A384"/>
    <mergeCell ref="B375:B384"/>
    <mergeCell ref="C375:C382"/>
    <mergeCell ref="K375:K384"/>
    <mergeCell ref="L375:L384"/>
    <mergeCell ref="B315:B324"/>
    <mergeCell ref="A261:A270"/>
    <mergeCell ref="A271:A314"/>
    <mergeCell ref="A345:A354"/>
    <mergeCell ref="B345:B354"/>
    <mergeCell ref="C345:C352"/>
    <mergeCell ref="K345:K354"/>
    <mergeCell ref="L345:L354"/>
    <mergeCell ref="A355:A364"/>
    <mergeCell ref="B355:B364"/>
    <mergeCell ref="C355:C362"/>
    <mergeCell ref="K355:K364"/>
    <mergeCell ref="L355:L364"/>
    <mergeCell ref="A151:A190"/>
    <mergeCell ref="A241:A260"/>
    <mergeCell ref="B241:B250"/>
    <mergeCell ref="K241:K260"/>
    <mergeCell ref="L241:L260"/>
    <mergeCell ref="B251:B260"/>
    <mergeCell ref="C251:C258"/>
    <mergeCell ref="B191:B200"/>
    <mergeCell ref="B201:B210"/>
    <mergeCell ref="B211:B220"/>
    <mergeCell ref="B221:B230"/>
    <mergeCell ref="B231:B240"/>
    <mergeCell ref="A191:A230"/>
    <mergeCell ref="A231:A240"/>
    <mergeCell ref="K191:K230"/>
    <mergeCell ref="L191:L230"/>
    <mergeCell ref="K231:K240"/>
    <mergeCell ref="L231:L240"/>
    <mergeCell ref="B151:B160"/>
    <mergeCell ref="K151:K190"/>
    <mergeCell ref="L151:L190"/>
    <mergeCell ref="B161:B170"/>
    <mergeCell ref="B171:B180"/>
    <mergeCell ref="B181:B190"/>
    <mergeCell ref="A70:A71"/>
    <mergeCell ref="B70:L70"/>
    <mergeCell ref="B71:L71"/>
    <mergeCell ref="L113:L121"/>
    <mergeCell ref="L73:L112"/>
    <mergeCell ref="K113:K121"/>
    <mergeCell ref="K73:K112"/>
    <mergeCell ref="A73:A112"/>
    <mergeCell ref="A113:A150"/>
    <mergeCell ref="B113:B121"/>
    <mergeCell ref="B122:B130"/>
    <mergeCell ref="K122:K150"/>
    <mergeCell ref="L122:L150"/>
    <mergeCell ref="B131:B140"/>
    <mergeCell ref="B141:B150"/>
    <mergeCell ref="A72:L72"/>
    <mergeCell ref="B73:B82"/>
    <mergeCell ref="B83:B92"/>
    <mergeCell ref="B93:B102"/>
    <mergeCell ref="B103:B112"/>
    <mergeCell ref="A58:L58"/>
    <mergeCell ref="A59:A68"/>
    <mergeCell ref="B59:B68"/>
    <mergeCell ref="K59:K68"/>
    <mergeCell ref="L59:L68"/>
    <mergeCell ref="A45:A54"/>
    <mergeCell ref="B45:B54"/>
    <mergeCell ref="K45:K54"/>
    <mergeCell ref="L45:L54"/>
    <mergeCell ref="K55:L55"/>
    <mergeCell ref="A56:A57"/>
    <mergeCell ref="B56:L56"/>
    <mergeCell ref="B57:L57"/>
    <mergeCell ref="A34:L34"/>
    <mergeCell ref="A35:A44"/>
    <mergeCell ref="B35:B44"/>
    <mergeCell ref="K35:K44"/>
    <mergeCell ref="L35:L44"/>
    <mergeCell ref="A21:A30"/>
    <mergeCell ref="B21:B30"/>
    <mergeCell ref="K21:K30"/>
    <mergeCell ref="L21:L30"/>
    <mergeCell ref="K31:L31"/>
    <mergeCell ref="A32:A33"/>
    <mergeCell ref="B32:L32"/>
    <mergeCell ref="B33:L33"/>
    <mergeCell ref="D1:J3"/>
    <mergeCell ref="A4:A6"/>
    <mergeCell ref="B4:B6"/>
    <mergeCell ref="D4:D6"/>
    <mergeCell ref="E4:E6"/>
    <mergeCell ref="F4:J4"/>
    <mergeCell ref="A10:L10"/>
    <mergeCell ref="A11:A20"/>
    <mergeCell ref="B11:B20"/>
    <mergeCell ref="K11:K20"/>
    <mergeCell ref="L11:L20"/>
    <mergeCell ref="K4:K6"/>
    <mergeCell ref="L4:L6"/>
    <mergeCell ref="F5:F6"/>
    <mergeCell ref="G5:G6"/>
    <mergeCell ref="H5:H6"/>
    <mergeCell ref="I5:I6"/>
    <mergeCell ref="J5:J6"/>
    <mergeCell ref="A8:A9"/>
    <mergeCell ref="B8:L8"/>
    <mergeCell ref="B9:L9"/>
    <mergeCell ref="K915:K924"/>
    <mergeCell ref="L915:L924"/>
    <mergeCell ref="K261:K270"/>
    <mergeCell ref="L261:L270"/>
    <mergeCell ref="K271:K314"/>
    <mergeCell ref="L271:L314"/>
    <mergeCell ref="K315:K324"/>
    <mergeCell ref="A315:A324"/>
    <mergeCell ref="L315:L324"/>
    <mergeCell ref="A325:A334"/>
    <mergeCell ref="B325:B334"/>
    <mergeCell ref="K325:K334"/>
    <mergeCell ref="L325:L334"/>
    <mergeCell ref="A335:A344"/>
    <mergeCell ref="B335:B344"/>
    <mergeCell ref="C335:C342"/>
    <mergeCell ref="K335:K344"/>
    <mergeCell ref="L335:L344"/>
    <mergeCell ref="B261:B270"/>
    <mergeCell ref="B271:B280"/>
    <mergeCell ref="B281:B284"/>
    <mergeCell ref="B285:B294"/>
    <mergeCell ref="B295:B304"/>
    <mergeCell ref="B305:B314"/>
  </mergeCells>
  <pageMargins left="0.78740157480314965" right="0.78740157480314965" top="0.78740157480314965" bottom="0.55118110236220474" header="0" footer="0"/>
  <pageSetup paperSize="9" scale="52" fitToHeight="0" orientation="landscape" r:id="rId1"/>
  <rowBreaks count="26" manualBreakCount="26">
    <brk id="33" min="1" max="11" man="1"/>
    <brk id="71" min="1" max="11" man="1"/>
    <brk id="112" max="11" man="1"/>
    <brk id="150" min="1" max="11" man="1"/>
    <brk id="190" min="1" max="11" man="1"/>
    <brk id="230" min="1" max="11" man="1"/>
    <brk id="270" min="1" max="11" man="1"/>
    <brk id="314" min="1" max="11" man="1"/>
    <brk id="354" min="1" max="11" man="1"/>
    <brk id="394" min="1" max="11" man="1"/>
    <brk id="424" min="1" max="11" man="1"/>
    <brk id="464" min="1" max="11" man="1"/>
    <brk id="494" max="11" man="1"/>
    <brk id="534" max="11" man="1"/>
    <brk id="574" max="11" man="1"/>
    <brk id="594" max="11" man="1"/>
    <brk id="634" max="11" man="1"/>
    <brk id="674" max="11" man="1"/>
    <brk id="714" max="11" man="1"/>
    <brk id="754" max="11" man="1"/>
    <brk id="780" max="11" man="1"/>
    <brk id="804" max="11" man="1"/>
    <brk id="844" max="11" man="1"/>
    <brk id="874" max="11" man="1"/>
    <brk id="904" max="11" man="1"/>
    <brk id="937"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8"/>
  <sheetViews>
    <sheetView topLeftCell="A13" workbookViewId="0">
      <selection activeCell="C46" sqref="C46"/>
    </sheetView>
  </sheetViews>
  <sheetFormatPr defaultRowHeight="18.75" x14ac:dyDescent="0.3"/>
  <cols>
    <col min="1" max="1" width="6.28515625" style="3" bestFit="1" customWidth="1"/>
    <col min="2" max="2" width="92.7109375" style="2" bestFit="1" customWidth="1"/>
    <col min="3" max="3" width="18.7109375" style="2" bestFit="1" customWidth="1"/>
    <col min="4" max="7" width="8.42578125" style="2" bestFit="1" customWidth="1"/>
    <col min="8" max="8" width="9.28515625" style="2" bestFit="1" customWidth="1"/>
    <col min="9" max="9" width="8.42578125" style="2" bestFit="1" customWidth="1"/>
    <col min="10" max="10" width="7.7109375" style="2" customWidth="1"/>
    <col min="11" max="11" width="8.42578125" style="2" bestFit="1" customWidth="1"/>
    <col min="12" max="16384" width="9.140625" style="2"/>
  </cols>
  <sheetData>
    <row r="1" spans="1:11" ht="45" customHeight="1" x14ac:dyDescent="0.3">
      <c r="F1" s="26" t="s">
        <v>287</v>
      </c>
      <c r="G1" s="26"/>
      <c r="H1" s="26"/>
      <c r="I1" s="26"/>
      <c r="J1" s="26"/>
      <c r="K1" s="26"/>
    </row>
    <row r="2" spans="1:11" ht="18.75" customHeight="1" x14ac:dyDescent="0.3">
      <c r="B2" s="11"/>
      <c r="C2" s="11"/>
      <c r="D2" s="11"/>
      <c r="E2" s="13"/>
      <c r="F2" s="13"/>
      <c r="G2" s="13"/>
      <c r="H2" s="13"/>
      <c r="I2" s="13"/>
      <c r="J2" s="13"/>
      <c r="K2" s="13"/>
    </row>
    <row r="3" spans="1:11" ht="18.75" customHeight="1" x14ac:dyDescent="0.3">
      <c r="B3" s="27" t="s">
        <v>288</v>
      </c>
      <c r="C3" s="27"/>
      <c r="D3" s="27"/>
      <c r="E3" s="27"/>
      <c r="F3" s="27"/>
      <c r="G3" s="27"/>
      <c r="H3" s="27"/>
      <c r="I3" s="27"/>
      <c r="J3" s="27"/>
      <c r="K3" s="27"/>
    </row>
    <row r="4" spans="1:11" ht="18.75" customHeight="1" x14ac:dyDescent="0.3">
      <c r="B4" s="27"/>
      <c r="C4" s="27"/>
      <c r="D4" s="27"/>
      <c r="E4" s="27"/>
      <c r="F4" s="27"/>
      <c r="G4" s="27"/>
      <c r="H4" s="27"/>
      <c r="I4" s="27"/>
      <c r="J4" s="27"/>
      <c r="K4" s="27"/>
    </row>
    <row r="5" spans="1:11" ht="21.75" customHeight="1" x14ac:dyDescent="0.3">
      <c r="B5" s="12"/>
      <c r="C5" s="12"/>
      <c r="D5" s="12"/>
      <c r="E5" s="14"/>
      <c r="F5" s="14"/>
      <c r="G5" s="14"/>
      <c r="H5" s="14"/>
      <c r="I5" s="14"/>
      <c r="J5" s="14"/>
      <c r="K5" s="14"/>
    </row>
    <row r="6" spans="1:11" s="1" customFormat="1" x14ac:dyDescent="0.3">
      <c r="A6" s="28" t="s">
        <v>216</v>
      </c>
      <c r="B6" s="31" t="s">
        <v>217</v>
      </c>
      <c r="C6" s="24" t="s">
        <v>218</v>
      </c>
      <c r="D6" s="24" t="s">
        <v>219</v>
      </c>
      <c r="E6" s="24"/>
      <c r="F6" s="24"/>
      <c r="G6" s="24"/>
      <c r="H6" s="24"/>
      <c r="I6" s="24"/>
      <c r="J6" s="24"/>
      <c r="K6" s="5"/>
    </row>
    <row r="7" spans="1:11" x14ac:dyDescent="0.3">
      <c r="A7" s="29"/>
      <c r="B7" s="32"/>
      <c r="C7" s="24"/>
      <c r="D7" s="6">
        <v>2018</v>
      </c>
      <c r="E7" s="6">
        <v>2019</v>
      </c>
      <c r="F7" s="6">
        <v>2020</v>
      </c>
      <c r="G7" s="6">
        <v>2021</v>
      </c>
      <c r="H7" s="6">
        <v>2022</v>
      </c>
      <c r="I7" s="6">
        <v>2023</v>
      </c>
      <c r="J7" s="6">
        <v>2024</v>
      </c>
      <c r="K7" s="6">
        <v>2025</v>
      </c>
    </row>
    <row r="8" spans="1:11" x14ac:dyDescent="0.3">
      <c r="A8" s="30"/>
      <c r="B8" s="33"/>
      <c r="C8" s="24"/>
      <c r="D8" s="6" t="s">
        <v>220</v>
      </c>
      <c r="E8" s="6" t="s">
        <v>220</v>
      </c>
      <c r="F8" s="6" t="s">
        <v>220</v>
      </c>
      <c r="G8" s="6" t="s">
        <v>220</v>
      </c>
      <c r="H8" s="6" t="s">
        <v>220</v>
      </c>
      <c r="I8" s="6" t="s">
        <v>220</v>
      </c>
      <c r="J8" s="6" t="s">
        <v>220</v>
      </c>
      <c r="K8" s="6" t="s">
        <v>220</v>
      </c>
    </row>
    <row r="9" spans="1:11" x14ac:dyDescent="0.3">
      <c r="A9" s="6">
        <v>1</v>
      </c>
      <c r="B9" s="6">
        <v>2</v>
      </c>
      <c r="C9" s="6">
        <v>3</v>
      </c>
      <c r="D9" s="6">
        <v>4</v>
      </c>
      <c r="E9" s="6">
        <v>5</v>
      </c>
      <c r="F9" s="6">
        <v>6</v>
      </c>
      <c r="G9" s="6">
        <v>7</v>
      </c>
      <c r="H9" s="6">
        <v>8</v>
      </c>
      <c r="I9" s="6">
        <v>9</v>
      </c>
      <c r="J9" s="6">
        <v>10</v>
      </c>
      <c r="K9" s="6">
        <v>11</v>
      </c>
    </row>
    <row r="10" spans="1:11" ht="37.5" x14ac:dyDescent="0.3">
      <c r="A10" s="6" t="s">
        <v>2</v>
      </c>
      <c r="B10" s="8" t="s">
        <v>221</v>
      </c>
      <c r="C10" s="6" t="s">
        <v>222</v>
      </c>
      <c r="D10" s="6">
        <v>76</v>
      </c>
      <c r="E10" s="6">
        <v>70.900000000000006</v>
      </c>
      <c r="F10" s="6">
        <v>72</v>
      </c>
      <c r="G10" s="6">
        <v>75</v>
      </c>
      <c r="H10" s="6">
        <v>77</v>
      </c>
      <c r="I10" s="6">
        <v>77</v>
      </c>
      <c r="J10" s="6">
        <v>77</v>
      </c>
      <c r="K10" s="6">
        <v>77</v>
      </c>
    </row>
    <row r="11" spans="1:11" x14ac:dyDescent="0.3">
      <c r="A11" s="6" t="s">
        <v>12</v>
      </c>
      <c r="B11" s="8" t="s">
        <v>223</v>
      </c>
      <c r="C11" s="6" t="s">
        <v>224</v>
      </c>
      <c r="D11" s="6">
        <v>0.05</v>
      </c>
      <c r="E11" s="6">
        <v>0.04</v>
      </c>
      <c r="F11" s="6">
        <v>0</v>
      </c>
      <c r="G11" s="6">
        <v>0</v>
      </c>
      <c r="H11" s="6">
        <v>0</v>
      </c>
      <c r="I11" s="6">
        <v>0.5</v>
      </c>
      <c r="J11" s="6">
        <v>0</v>
      </c>
      <c r="K11" s="6">
        <v>0</v>
      </c>
    </row>
    <row r="12" spans="1:11" ht="75" x14ac:dyDescent="0.3">
      <c r="A12" s="6" t="s">
        <v>32</v>
      </c>
      <c r="B12" s="8" t="s">
        <v>225</v>
      </c>
      <c r="C12" s="6" t="s">
        <v>222</v>
      </c>
      <c r="D12" s="6">
        <v>100</v>
      </c>
      <c r="E12" s="6">
        <v>100</v>
      </c>
      <c r="F12" s="6">
        <v>100</v>
      </c>
      <c r="G12" s="6">
        <v>100</v>
      </c>
      <c r="H12" s="6">
        <v>100</v>
      </c>
      <c r="I12" s="6">
        <v>100</v>
      </c>
      <c r="J12" s="6">
        <v>100</v>
      </c>
      <c r="K12" s="6">
        <v>100</v>
      </c>
    </row>
    <row r="13" spans="1:11" ht="63.75" customHeight="1" x14ac:dyDescent="0.3">
      <c r="A13" s="6" t="s">
        <v>36</v>
      </c>
      <c r="B13" s="8" t="s">
        <v>226</v>
      </c>
      <c r="C13" s="6" t="s">
        <v>222</v>
      </c>
      <c r="D13" s="6">
        <v>100</v>
      </c>
      <c r="E13" s="6">
        <v>100</v>
      </c>
      <c r="F13" s="6">
        <v>100</v>
      </c>
      <c r="G13" s="6">
        <v>100</v>
      </c>
      <c r="H13" s="6">
        <v>100</v>
      </c>
      <c r="I13" s="6">
        <v>100</v>
      </c>
      <c r="J13" s="6">
        <v>100</v>
      </c>
      <c r="K13" s="6">
        <v>100</v>
      </c>
    </row>
    <row r="14" spans="1:11" x14ac:dyDescent="0.3">
      <c r="A14" s="24" t="s">
        <v>227</v>
      </c>
      <c r="B14" s="25" t="s">
        <v>228</v>
      </c>
      <c r="C14" s="24" t="s">
        <v>229</v>
      </c>
      <c r="D14" s="24">
        <v>13.494</v>
      </c>
      <c r="E14" s="24">
        <v>13.927</v>
      </c>
      <c r="F14" s="24">
        <v>14.237</v>
      </c>
      <c r="G14" s="24">
        <v>14.621</v>
      </c>
      <c r="H14" s="24">
        <v>15.079000000000001</v>
      </c>
      <c r="I14" s="24">
        <v>15.291</v>
      </c>
      <c r="J14" s="24">
        <v>15.291</v>
      </c>
      <c r="K14" s="24">
        <v>15.291</v>
      </c>
    </row>
    <row r="15" spans="1:11" x14ac:dyDescent="0.3">
      <c r="A15" s="24"/>
      <c r="B15" s="25"/>
      <c r="C15" s="24"/>
      <c r="D15" s="24"/>
      <c r="E15" s="24"/>
      <c r="F15" s="24"/>
      <c r="G15" s="24"/>
      <c r="H15" s="24"/>
      <c r="I15" s="24"/>
      <c r="J15" s="24"/>
      <c r="K15" s="24"/>
    </row>
    <row r="16" spans="1:11" x14ac:dyDescent="0.3">
      <c r="A16" s="24" t="s">
        <v>230</v>
      </c>
      <c r="B16" s="25" t="s">
        <v>231</v>
      </c>
      <c r="C16" s="24" t="s">
        <v>232</v>
      </c>
      <c r="D16" s="24">
        <v>16</v>
      </c>
      <c r="E16" s="24">
        <v>16</v>
      </c>
      <c r="F16" s="24">
        <v>19</v>
      </c>
      <c r="G16" s="24">
        <v>19</v>
      </c>
      <c r="H16" s="24">
        <v>19</v>
      </c>
      <c r="I16" s="24">
        <v>19</v>
      </c>
      <c r="J16" s="24">
        <v>19</v>
      </c>
      <c r="K16" s="24">
        <v>19</v>
      </c>
    </row>
    <row r="17" spans="1:11" x14ac:dyDescent="0.3">
      <c r="A17" s="24"/>
      <c r="B17" s="25"/>
      <c r="C17" s="24"/>
      <c r="D17" s="24"/>
      <c r="E17" s="24"/>
      <c r="F17" s="24"/>
      <c r="G17" s="24"/>
      <c r="H17" s="24"/>
      <c r="I17" s="24"/>
      <c r="J17" s="24"/>
      <c r="K17" s="24"/>
    </row>
    <row r="18" spans="1:11" ht="56.25" x14ac:dyDescent="0.3">
      <c r="A18" s="6" t="s">
        <v>233</v>
      </c>
      <c r="B18" s="8" t="s">
        <v>234</v>
      </c>
      <c r="C18" s="6" t="s">
        <v>222</v>
      </c>
      <c r="D18" s="6">
        <v>89.6</v>
      </c>
      <c r="E18" s="6">
        <v>90</v>
      </c>
      <c r="F18" s="6">
        <v>100</v>
      </c>
      <c r="G18" s="6">
        <v>100</v>
      </c>
      <c r="H18" s="6">
        <v>100</v>
      </c>
      <c r="I18" s="6">
        <v>100</v>
      </c>
      <c r="J18" s="6">
        <v>100</v>
      </c>
      <c r="K18" s="6">
        <v>100</v>
      </c>
    </row>
    <row r="19" spans="1:11" ht="56.25" x14ac:dyDescent="0.3">
      <c r="A19" s="6" t="s">
        <v>235</v>
      </c>
      <c r="B19" s="8" t="s">
        <v>236</v>
      </c>
      <c r="C19" s="6" t="s">
        <v>222</v>
      </c>
      <c r="D19" s="6">
        <v>1.5</v>
      </c>
      <c r="E19" s="6">
        <v>0.5</v>
      </c>
      <c r="F19" s="6">
        <v>0</v>
      </c>
      <c r="G19" s="6">
        <v>0</v>
      </c>
      <c r="H19" s="6">
        <v>0</v>
      </c>
      <c r="I19" s="6">
        <v>0</v>
      </c>
      <c r="J19" s="6">
        <v>0</v>
      </c>
      <c r="K19" s="6">
        <v>0</v>
      </c>
    </row>
    <row r="20" spans="1:11" ht="56.25" x14ac:dyDescent="0.3">
      <c r="A20" s="6" t="s">
        <v>237</v>
      </c>
      <c r="B20" s="8" t="s">
        <v>238</v>
      </c>
      <c r="C20" s="6" t="s">
        <v>222</v>
      </c>
      <c r="D20" s="6">
        <v>100</v>
      </c>
      <c r="E20" s="6">
        <v>100</v>
      </c>
      <c r="F20" s="6">
        <v>100</v>
      </c>
      <c r="G20" s="6">
        <v>100</v>
      </c>
      <c r="H20" s="6">
        <v>100</v>
      </c>
      <c r="I20" s="6">
        <v>100</v>
      </c>
      <c r="J20" s="6">
        <v>100</v>
      </c>
      <c r="K20" s="6">
        <v>100</v>
      </c>
    </row>
    <row r="21" spans="1:11" ht="37.5" x14ac:dyDescent="0.3">
      <c r="A21" s="6" t="s">
        <v>239</v>
      </c>
      <c r="B21" s="8" t="s">
        <v>240</v>
      </c>
      <c r="C21" s="6" t="s">
        <v>241</v>
      </c>
      <c r="D21" s="6">
        <v>20</v>
      </c>
      <c r="E21" s="6">
        <v>20</v>
      </c>
      <c r="F21" s="6">
        <v>20</v>
      </c>
      <c r="G21" s="6">
        <v>20</v>
      </c>
      <c r="H21" s="6">
        <v>20</v>
      </c>
      <c r="I21" s="6">
        <v>20</v>
      </c>
      <c r="J21" s="6">
        <v>20</v>
      </c>
      <c r="K21" s="6">
        <v>20</v>
      </c>
    </row>
    <row r="22" spans="1:11" ht="37.5" x14ac:dyDescent="0.3">
      <c r="A22" s="6" t="s">
        <v>242</v>
      </c>
      <c r="B22" s="8" t="s">
        <v>243</v>
      </c>
      <c r="C22" s="6" t="s">
        <v>222</v>
      </c>
      <c r="D22" s="6">
        <v>35</v>
      </c>
      <c r="E22" s="6">
        <v>57</v>
      </c>
      <c r="F22" s="6">
        <v>60</v>
      </c>
      <c r="G22" s="6">
        <v>60</v>
      </c>
      <c r="H22" s="6">
        <v>80</v>
      </c>
      <c r="I22" s="6">
        <v>100</v>
      </c>
      <c r="J22" s="6">
        <v>100</v>
      </c>
      <c r="K22" s="6">
        <v>100</v>
      </c>
    </row>
    <row r="23" spans="1:11" ht="56.25" x14ac:dyDescent="0.3">
      <c r="A23" s="6" t="s">
        <v>244</v>
      </c>
      <c r="B23" s="8" t="s">
        <v>245</v>
      </c>
      <c r="C23" s="6" t="s">
        <v>222</v>
      </c>
      <c r="D23" s="6">
        <v>99</v>
      </c>
      <c r="E23" s="6">
        <v>99</v>
      </c>
      <c r="F23" s="6">
        <v>99</v>
      </c>
      <c r="G23" s="6">
        <v>99</v>
      </c>
      <c r="H23" s="6">
        <v>99</v>
      </c>
      <c r="I23" s="6">
        <v>99</v>
      </c>
      <c r="J23" s="6">
        <v>99</v>
      </c>
      <c r="K23" s="6">
        <v>99</v>
      </c>
    </row>
    <row r="24" spans="1:11" ht="37.5" x14ac:dyDescent="0.3">
      <c r="A24" s="6" t="s">
        <v>246</v>
      </c>
      <c r="B24" s="8" t="s">
        <v>247</v>
      </c>
      <c r="C24" s="6" t="s">
        <v>222</v>
      </c>
      <c r="D24" s="6">
        <v>50</v>
      </c>
      <c r="E24" s="6">
        <v>55</v>
      </c>
      <c r="F24" s="6">
        <v>60</v>
      </c>
      <c r="G24" s="6">
        <v>70</v>
      </c>
      <c r="H24" s="6">
        <v>70</v>
      </c>
      <c r="I24" s="6">
        <v>70</v>
      </c>
      <c r="J24" s="6">
        <v>70</v>
      </c>
      <c r="K24" s="6">
        <v>70</v>
      </c>
    </row>
    <row r="25" spans="1:11" ht="75" x14ac:dyDescent="0.3">
      <c r="A25" s="6">
        <v>14</v>
      </c>
      <c r="B25" s="7" t="s">
        <v>248</v>
      </c>
      <c r="C25" s="6" t="s">
        <v>222</v>
      </c>
      <c r="D25" s="6">
        <v>0</v>
      </c>
      <c r="E25" s="6">
        <v>0</v>
      </c>
      <c r="F25" s="6">
        <v>22</v>
      </c>
      <c r="G25" s="6">
        <v>22</v>
      </c>
      <c r="H25" s="6">
        <v>22</v>
      </c>
      <c r="I25" s="6">
        <v>22</v>
      </c>
      <c r="J25" s="6">
        <v>22</v>
      </c>
      <c r="K25" s="6">
        <v>22</v>
      </c>
    </row>
    <row r="26" spans="1:11" x14ac:dyDescent="0.3">
      <c r="A26" s="6" t="s">
        <v>249</v>
      </c>
      <c r="B26" s="7" t="s">
        <v>250</v>
      </c>
      <c r="C26" s="6" t="s">
        <v>251</v>
      </c>
      <c r="D26" s="6">
        <v>10</v>
      </c>
      <c r="E26" s="6">
        <v>12</v>
      </c>
      <c r="F26" s="6">
        <v>11</v>
      </c>
      <c r="G26" s="6">
        <v>12</v>
      </c>
      <c r="H26" s="6">
        <v>12</v>
      </c>
      <c r="I26" s="6">
        <v>12</v>
      </c>
      <c r="J26" s="6">
        <v>12</v>
      </c>
      <c r="K26" s="6">
        <v>12</v>
      </c>
    </row>
    <row r="27" spans="1:11" x14ac:dyDescent="0.3">
      <c r="A27" s="6" t="s">
        <v>252</v>
      </c>
      <c r="B27" s="8" t="s">
        <v>253</v>
      </c>
      <c r="C27" s="6" t="s">
        <v>222</v>
      </c>
      <c r="D27" s="6">
        <v>100</v>
      </c>
      <c r="E27" s="6">
        <v>100</v>
      </c>
      <c r="F27" s="6">
        <v>100</v>
      </c>
      <c r="G27" s="6">
        <v>100</v>
      </c>
      <c r="H27" s="6">
        <v>100</v>
      </c>
      <c r="I27" s="6">
        <v>100</v>
      </c>
      <c r="J27" s="6">
        <v>100</v>
      </c>
      <c r="K27" s="6">
        <v>100</v>
      </c>
    </row>
    <row r="28" spans="1:11" ht="37.5" x14ac:dyDescent="0.3">
      <c r="A28" s="6" t="s">
        <v>254</v>
      </c>
      <c r="B28" s="8" t="s">
        <v>255</v>
      </c>
      <c r="C28" s="6" t="s">
        <v>222</v>
      </c>
      <c r="D28" s="6">
        <v>20</v>
      </c>
      <c r="E28" s="6">
        <v>0</v>
      </c>
      <c r="F28" s="6">
        <v>0</v>
      </c>
      <c r="G28" s="6">
        <v>0</v>
      </c>
      <c r="H28" s="6">
        <v>0</v>
      </c>
      <c r="I28" s="6">
        <v>0</v>
      </c>
      <c r="J28" s="6">
        <v>0</v>
      </c>
      <c r="K28" s="6">
        <v>0</v>
      </c>
    </row>
    <row r="29" spans="1:11" x14ac:dyDescent="0.3">
      <c r="A29" s="6" t="s">
        <v>256</v>
      </c>
      <c r="B29" s="8" t="s">
        <v>257</v>
      </c>
      <c r="C29" s="6" t="s">
        <v>258</v>
      </c>
      <c r="D29" s="6">
        <v>30</v>
      </c>
      <c r="E29" s="6">
        <v>30</v>
      </c>
      <c r="F29" s="6">
        <v>30</v>
      </c>
      <c r="G29" s="6">
        <v>30</v>
      </c>
      <c r="H29" s="6">
        <v>30</v>
      </c>
      <c r="I29" s="6">
        <v>30</v>
      </c>
      <c r="J29" s="6">
        <v>30</v>
      </c>
      <c r="K29" s="6">
        <v>30</v>
      </c>
    </row>
    <row r="30" spans="1:11" x14ac:dyDescent="0.3">
      <c r="A30" s="6" t="s">
        <v>259</v>
      </c>
      <c r="B30" s="8" t="s">
        <v>260</v>
      </c>
      <c r="C30" s="6" t="s">
        <v>261</v>
      </c>
      <c r="D30" s="6">
        <v>2</v>
      </c>
      <c r="E30" s="6">
        <v>8</v>
      </c>
      <c r="F30" s="6">
        <v>9</v>
      </c>
      <c r="G30" s="6">
        <v>6</v>
      </c>
      <c r="H30" s="6">
        <v>8</v>
      </c>
      <c r="I30" s="6">
        <v>0</v>
      </c>
      <c r="J30" s="6">
        <v>0</v>
      </c>
      <c r="K30" s="6">
        <v>0</v>
      </c>
    </row>
    <row r="31" spans="1:11" ht="37.5" x14ac:dyDescent="0.3">
      <c r="A31" s="6" t="s">
        <v>262</v>
      </c>
      <c r="B31" s="8" t="s">
        <v>263</v>
      </c>
      <c r="C31" s="6" t="s">
        <v>264</v>
      </c>
      <c r="D31" s="6">
        <v>6</v>
      </c>
      <c r="E31" s="6">
        <v>8</v>
      </c>
      <c r="F31" s="6">
        <v>8</v>
      </c>
      <c r="G31" s="9">
        <v>9</v>
      </c>
      <c r="H31" s="6">
        <v>5</v>
      </c>
      <c r="I31" s="6">
        <v>1</v>
      </c>
      <c r="J31" s="6">
        <v>0</v>
      </c>
      <c r="K31" s="6">
        <v>0</v>
      </c>
    </row>
    <row r="32" spans="1:11" x14ac:dyDescent="0.3">
      <c r="A32" s="24" t="s">
        <v>265</v>
      </c>
      <c r="B32" s="25" t="s">
        <v>266</v>
      </c>
      <c r="C32" s="24" t="s">
        <v>261</v>
      </c>
      <c r="D32" s="24">
        <v>3</v>
      </c>
      <c r="E32" s="24">
        <v>3</v>
      </c>
      <c r="F32" s="24">
        <v>3</v>
      </c>
      <c r="G32" s="24">
        <v>3</v>
      </c>
      <c r="H32" s="24">
        <v>0</v>
      </c>
      <c r="I32" s="24">
        <v>0</v>
      </c>
      <c r="J32" s="24">
        <v>0</v>
      </c>
      <c r="K32" s="24">
        <v>0</v>
      </c>
    </row>
    <row r="33" spans="1:11" x14ac:dyDescent="0.3">
      <c r="A33" s="24"/>
      <c r="B33" s="25"/>
      <c r="C33" s="24"/>
      <c r="D33" s="24"/>
      <c r="E33" s="24"/>
      <c r="F33" s="24"/>
      <c r="G33" s="24"/>
      <c r="H33" s="24"/>
      <c r="I33" s="24"/>
      <c r="J33" s="24"/>
      <c r="K33" s="24"/>
    </row>
    <row r="34" spans="1:11" ht="56.25" x14ac:dyDescent="0.3">
      <c r="A34" s="6" t="s">
        <v>267</v>
      </c>
      <c r="B34" s="8" t="s">
        <v>268</v>
      </c>
      <c r="C34" s="6" t="s">
        <v>269</v>
      </c>
      <c r="D34" s="6">
        <v>100</v>
      </c>
      <c r="E34" s="6">
        <v>100</v>
      </c>
      <c r="F34" s="6">
        <v>100</v>
      </c>
      <c r="G34" s="6">
        <v>100</v>
      </c>
      <c r="H34" s="6">
        <v>100</v>
      </c>
      <c r="I34" s="6">
        <v>100</v>
      </c>
      <c r="J34" s="6">
        <v>100</v>
      </c>
      <c r="K34" s="6">
        <v>100</v>
      </c>
    </row>
    <row r="35" spans="1:11" ht="37.5" x14ac:dyDescent="0.3">
      <c r="A35" s="6" t="s">
        <v>270</v>
      </c>
      <c r="B35" s="8" t="s">
        <v>271</v>
      </c>
      <c r="C35" s="6" t="s">
        <v>261</v>
      </c>
      <c r="D35" s="6">
        <v>0</v>
      </c>
      <c r="E35" s="6">
        <v>0</v>
      </c>
      <c r="F35" s="6">
        <v>0</v>
      </c>
      <c r="G35" s="6">
        <v>0</v>
      </c>
      <c r="H35" s="6">
        <v>2</v>
      </c>
      <c r="I35" s="6">
        <v>0</v>
      </c>
      <c r="J35" s="6">
        <v>0</v>
      </c>
      <c r="K35" s="6">
        <v>0</v>
      </c>
    </row>
    <row r="36" spans="1:11" ht="37.5" x14ac:dyDescent="0.3">
      <c r="A36" s="6" t="s">
        <v>272</v>
      </c>
      <c r="B36" s="8" t="s">
        <v>273</v>
      </c>
      <c r="C36" s="6" t="s">
        <v>264</v>
      </c>
      <c r="D36" s="6">
        <v>2</v>
      </c>
      <c r="E36" s="6">
        <v>0</v>
      </c>
      <c r="F36" s="6">
        <v>29</v>
      </c>
      <c r="G36" s="6">
        <v>0</v>
      </c>
      <c r="H36" s="6">
        <v>12</v>
      </c>
      <c r="I36" s="6">
        <v>13</v>
      </c>
      <c r="J36" s="6">
        <v>0</v>
      </c>
      <c r="K36" s="6">
        <v>0</v>
      </c>
    </row>
    <row r="37" spans="1:11" x14ac:dyDescent="0.3">
      <c r="A37" s="6" t="s">
        <v>274</v>
      </c>
      <c r="B37" s="8" t="s">
        <v>275</v>
      </c>
      <c r="C37" s="6" t="s">
        <v>269</v>
      </c>
      <c r="D37" s="6">
        <v>100</v>
      </c>
      <c r="E37" s="6">
        <v>100</v>
      </c>
      <c r="F37" s="6">
        <v>100</v>
      </c>
      <c r="G37" s="6">
        <v>100</v>
      </c>
      <c r="H37" s="6">
        <v>100</v>
      </c>
      <c r="I37" s="6">
        <v>100</v>
      </c>
      <c r="J37" s="6">
        <v>100</v>
      </c>
      <c r="K37" s="6">
        <v>100</v>
      </c>
    </row>
    <row r="38" spans="1:11" ht="75" x14ac:dyDescent="0.3">
      <c r="A38" s="6" t="s">
        <v>276</v>
      </c>
      <c r="B38" s="8" t="s">
        <v>277</v>
      </c>
      <c r="C38" s="6" t="s">
        <v>264</v>
      </c>
      <c r="D38" s="6">
        <v>1</v>
      </c>
      <c r="E38" s="6">
        <v>1</v>
      </c>
      <c r="F38" s="6">
        <v>0</v>
      </c>
      <c r="G38" s="6">
        <v>0</v>
      </c>
      <c r="H38" s="6">
        <v>0</v>
      </c>
      <c r="I38" s="6">
        <v>0</v>
      </c>
      <c r="J38" s="6">
        <v>0</v>
      </c>
      <c r="K38" s="6">
        <v>0</v>
      </c>
    </row>
    <row r="39" spans="1:11" x14ac:dyDescent="0.3">
      <c r="A39" s="6" t="s">
        <v>278</v>
      </c>
      <c r="B39" s="8" t="s">
        <v>279</v>
      </c>
      <c r="C39" s="6" t="s">
        <v>261</v>
      </c>
      <c r="D39" s="6">
        <v>0</v>
      </c>
      <c r="E39" s="6">
        <v>22</v>
      </c>
      <c r="F39" s="6">
        <v>22</v>
      </c>
      <c r="G39" s="6">
        <v>22</v>
      </c>
      <c r="H39" s="6">
        <v>22</v>
      </c>
      <c r="I39" s="6">
        <v>22</v>
      </c>
      <c r="J39" s="6">
        <v>22</v>
      </c>
      <c r="K39" s="6">
        <v>22</v>
      </c>
    </row>
    <row r="40" spans="1:11" ht="56.25" x14ac:dyDescent="0.3">
      <c r="A40" s="6" t="s">
        <v>280</v>
      </c>
      <c r="B40" s="8" t="s">
        <v>281</v>
      </c>
      <c r="C40" s="6" t="s">
        <v>261</v>
      </c>
      <c r="D40" s="6">
        <v>0</v>
      </c>
      <c r="E40" s="6">
        <v>6</v>
      </c>
      <c r="F40" s="6">
        <v>3</v>
      </c>
      <c r="G40" s="9">
        <v>16</v>
      </c>
      <c r="H40" s="6">
        <v>4</v>
      </c>
      <c r="I40" s="6">
        <v>3</v>
      </c>
      <c r="J40" s="6">
        <v>0</v>
      </c>
      <c r="K40" s="6">
        <v>0</v>
      </c>
    </row>
    <row r="41" spans="1:11" ht="56.25" x14ac:dyDescent="0.3">
      <c r="A41" s="6" t="s">
        <v>282</v>
      </c>
      <c r="B41" s="8" t="s">
        <v>283</v>
      </c>
      <c r="C41" s="6" t="s">
        <v>261</v>
      </c>
      <c r="D41" s="6">
        <v>0</v>
      </c>
      <c r="E41" s="6">
        <v>15</v>
      </c>
      <c r="F41" s="6">
        <v>13</v>
      </c>
      <c r="G41" s="6">
        <v>11</v>
      </c>
      <c r="H41" s="6">
        <v>10</v>
      </c>
      <c r="I41" s="6">
        <v>15</v>
      </c>
      <c r="J41" s="6">
        <v>0</v>
      </c>
      <c r="K41" s="6">
        <v>0</v>
      </c>
    </row>
    <row r="42" spans="1:11" ht="37.5" x14ac:dyDescent="0.3">
      <c r="A42" s="6" t="s">
        <v>284</v>
      </c>
      <c r="B42" s="10" t="s">
        <v>285</v>
      </c>
      <c r="C42" s="6" t="s">
        <v>264</v>
      </c>
      <c r="D42" s="6">
        <v>0</v>
      </c>
      <c r="E42" s="6">
        <v>3</v>
      </c>
      <c r="F42" s="6">
        <v>2</v>
      </c>
      <c r="G42" s="6">
        <v>0</v>
      </c>
      <c r="H42" s="6">
        <v>0</v>
      </c>
      <c r="I42" s="6">
        <v>0</v>
      </c>
      <c r="J42" s="6">
        <v>0</v>
      </c>
      <c r="K42" s="6">
        <v>0</v>
      </c>
    </row>
    <row r="43" spans="1:11" ht="37.5" x14ac:dyDescent="0.3">
      <c r="A43" s="6" t="s">
        <v>294</v>
      </c>
      <c r="B43" s="10" t="s">
        <v>295</v>
      </c>
      <c r="C43" s="6" t="s">
        <v>264</v>
      </c>
      <c r="D43" s="6">
        <v>0</v>
      </c>
      <c r="E43" s="6">
        <v>0</v>
      </c>
      <c r="F43" s="6">
        <v>0</v>
      </c>
      <c r="G43" s="6">
        <v>0</v>
      </c>
      <c r="H43" s="6">
        <v>0</v>
      </c>
      <c r="I43" s="6">
        <v>7</v>
      </c>
      <c r="J43" s="6">
        <v>0</v>
      </c>
      <c r="K43" s="6">
        <v>0</v>
      </c>
    </row>
    <row r="44" spans="1:11" x14ac:dyDescent="0.3">
      <c r="A44" s="2"/>
    </row>
    <row r="45" spans="1:11" x14ac:dyDescent="0.3">
      <c r="A45" s="2"/>
    </row>
    <row r="46" spans="1:11" x14ac:dyDescent="0.3">
      <c r="A46" s="2"/>
    </row>
    <row r="47" spans="1:11" x14ac:dyDescent="0.3">
      <c r="A47" s="2"/>
    </row>
    <row r="48" spans="1:11" s="4" customFormat="1" x14ac:dyDescent="0.3">
      <c r="B48" s="4" t="s">
        <v>286</v>
      </c>
      <c r="H48" s="4" t="s">
        <v>180</v>
      </c>
    </row>
  </sheetData>
  <mergeCells count="39">
    <mergeCell ref="F1:K1"/>
    <mergeCell ref="B3:K4"/>
    <mergeCell ref="A6:A8"/>
    <mergeCell ref="B6:B8"/>
    <mergeCell ref="C6:C8"/>
    <mergeCell ref="D6:J6"/>
    <mergeCell ref="A14:A15"/>
    <mergeCell ref="B14:B15"/>
    <mergeCell ref="C14:C15"/>
    <mergeCell ref="D14:D15"/>
    <mergeCell ref="E14:E15"/>
    <mergeCell ref="F14:F15"/>
    <mergeCell ref="G14:G15"/>
    <mergeCell ref="H14:H15"/>
    <mergeCell ref="I14:I15"/>
    <mergeCell ref="K14:K15"/>
    <mergeCell ref="J14:J15"/>
    <mergeCell ref="K16:K17"/>
    <mergeCell ref="A16:A17"/>
    <mergeCell ref="B16:B17"/>
    <mergeCell ref="C16:C17"/>
    <mergeCell ref="D16:D17"/>
    <mergeCell ref="E16:E17"/>
    <mergeCell ref="F16:F17"/>
    <mergeCell ref="J16:J17"/>
    <mergeCell ref="G16:G17"/>
    <mergeCell ref="H16:H17"/>
    <mergeCell ref="I16:I17"/>
    <mergeCell ref="J32:J33"/>
    <mergeCell ref="K32:K33"/>
    <mergeCell ref="A32:A33"/>
    <mergeCell ref="B32:B33"/>
    <mergeCell ref="C32:C33"/>
    <mergeCell ref="D32:D33"/>
    <mergeCell ref="E32:E33"/>
    <mergeCell ref="F32:F33"/>
    <mergeCell ref="G32:G33"/>
    <mergeCell ref="H32:H33"/>
    <mergeCell ref="I32:I33"/>
  </mergeCells>
  <pageMargins left="1.1811023622047245" right="0.39370078740157483" top="0.78740157480314965" bottom="0.78740157480314965" header="0.31496062992125984" footer="0.31496062992125984"/>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Лист1 </vt:lpstr>
      <vt:lpstr>Лист2</vt:lpstr>
      <vt:lpstr>'Лист1 '!Заголовки_для_печати</vt:lpstr>
      <vt:lpstr>Лист2!Заголовки_для_печати</vt:lpstr>
      <vt:lpstr>'Лист1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2024-12-10T11:57:15Z</dcterms:modified>
</cp:coreProperties>
</file>